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tt Jackson\Downloads\"/>
    </mc:Choice>
  </mc:AlternateContent>
  <xr:revisionPtr revIDLastSave="0" documentId="13_ncr:1_{CDED6911-BADA-4061-B79C-669A40F36F58}" xr6:coauthVersionLast="47" xr6:coauthVersionMax="47" xr10:uidLastSave="{00000000-0000-0000-0000-000000000000}"/>
  <workbookProtection workbookAlgorithmName="SHA-512" workbookHashValue="9rMdD0/ueB7QGi9cS0idA7U5W2FOdPbqVFHNU7Rss/SLwGnlCBl6jdWQ2DN3sjQYQ6UJj6aINJ0MzlYg9IJ9kQ==" workbookSaltValue="MWHvxWweyJAvCkLz/UyXCw==" workbookSpinCount="100000" lockStructure="1"/>
  <bookViews>
    <workbookView xWindow="-120" yWindow="-120" windowWidth="29040" windowHeight="15525" tabRatio="716" xr2:uid="{7C82C095-B22F-4348-8701-9D88709AC1F1}"/>
  </bookViews>
  <sheets>
    <sheet name="Index &amp; Instructions" sheetId="11" r:id="rId1"/>
    <sheet name="Group Match Input" sheetId="3" r:id="rId2"/>
    <sheet name="Knockout Match Input" sheetId="9" r:id="rId3"/>
    <sheet name="Group A" sheetId="7" r:id="rId4"/>
    <sheet name="Group B" sheetId="12" r:id="rId5"/>
    <sheet name="Group C" sheetId="13" r:id="rId6"/>
    <sheet name="Group D" sheetId="16" r:id="rId7"/>
    <sheet name="Group E" sheetId="15" r:id="rId8"/>
    <sheet name="Group F" sheetId="14" r:id="rId9"/>
    <sheet name="3rd Place Table" sheetId="17" r:id="rId10"/>
    <sheet name="Knockout Results" sheetId="10" r:id="rId11"/>
    <sheet name="tblGroupTotals" sheetId="4" state="hidden" r:id="rId12"/>
    <sheet name="tblGroupTieBreakRank" sheetId="5" state="hidden" r:id="rId13"/>
    <sheet name="GroupTiebreak" sheetId="6" state="hidden" r:id="rId14"/>
    <sheet name="ThirdPlaceTieBreak" sheetId="8" state="hidden" r:id="rId15"/>
    <sheet name="lkup" sheetId="1" state="hidden" r:id="rId16"/>
    <sheet name="Rules" sheetId="2" state="hidden"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3" l="1"/>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5" i="3"/>
  <c r="C8" i="17" a="1"/>
  <c r="C10" i="17" s="1"/>
  <c r="K29" i="9"/>
  <c r="K24" i="9"/>
  <c r="J29" i="9"/>
  <c r="J24" i="9"/>
  <c r="K25" i="9"/>
  <c r="K17" i="9"/>
  <c r="J25" i="9"/>
  <c r="J17" i="9"/>
  <c r="K18" i="9"/>
  <c r="K19" i="9"/>
  <c r="K20" i="9"/>
  <c r="J18" i="9"/>
  <c r="J19" i="9"/>
  <c r="J20" i="9"/>
  <c r="K7" i="9"/>
  <c r="K10" i="9"/>
  <c r="K12" i="9"/>
  <c r="K6" i="9"/>
  <c r="AA3" i="1"/>
  <c r="AA4" i="1"/>
  <c r="AA5" i="1"/>
  <c r="AA6" i="1"/>
  <c r="AA7" i="1"/>
  <c r="AA8" i="1"/>
  <c r="AA9" i="1"/>
  <c r="AA10" i="1"/>
  <c r="AA11" i="1"/>
  <c r="AA12" i="1"/>
  <c r="AA2" i="1"/>
  <c r="S13" i="9"/>
  <c r="U6" i="9"/>
  <c r="J7" i="9"/>
  <c r="J8" i="9"/>
  <c r="J9" i="9"/>
  <c r="J10" i="9"/>
  <c r="J11" i="9"/>
  <c r="J12" i="9"/>
  <c r="J13" i="9"/>
  <c r="J6" i="9"/>
  <c r="Z25" i="9"/>
  <c r="Z18" i="9"/>
  <c r="Z19" i="9"/>
  <c r="Z20" i="9"/>
  <c r="Z29" i="9"/>
  <c r="Z24" i="9"/>
  <c r="Z6" i="9"/>
  <c r="Z17" i="9"/>
  <c r="Z7" i="9"/>
  <c r="Z8" i="9"/>
  <c r="Z9" i="9"/>
  <c r="Z10" i="9"/>
  <c r="Z11" i="9"/>
  <c r="Z12" i="9"/>
  <c r="Z13" i="9"/>
  <c r="O25" i="9"/>
  <c r="AA25" i="9" s="1"/>
  <c r="P25" i="9"/>
  <c r="Q25" i="9"/>
  <c r="R25" i="9"/>
  <c r="O18" i="9"/>
  <c r="AA18" i="9" s="1"/>
  <c r="P18" i="9"/>
  <c r="Q18" i="9"/>
  <c r="R18" i="9"/>
  <c r="O19" i="9"/>
  <c r="AA19" i="9" s="1"/>
  <c r="P19" i="9"/>
  <c r="Q19" i="9"/>
  <c r="R19" i="9"/>
  <c r="O20" i="9"/>
  <c r="AA20" i="9" s="1"/>
  <c r="P20" i="9"/>
  <c r="Q20" i="9"/>
  <c r="R20" i="9"/>
  <c r="R29" i="9"/>
  <c r="R24" i="9"/>
  <c r="R17" i="9"/>
  <c r="R6" i="9"/>
  <c r="Q29" i="9"/>
  <c r="Q24" i="9"/>
  <c r="Q17" i="9"/>
  <c r="Q6" i="9"/>
  <c r="P29" i="9"/>
  <c r="P24" i="9"/>
  <c r="P17" i="9"/>
  <c r="P6" i="9"/>
  <c r="O29" i="9"/>
  <c r="AA29" i="9" s="1"/>
  <c r="O24" i="9"/>
  <c r="AA24" i="9" s="1"/>
  <c r="O17" i="9"/>
  <c r="AA17" i="9" s="1"/>
  <c r="O6" i="9"/>
  <c r="AA6" i="9" s="1"/>
  <c r="R7" i="9"/>
  <c r="R8" i="9"/>
  <c r="R9" i="9"/>
  <c r="R10" i="9"/>
  <c r="R11" i="9"/>
  <c r="R12" i="9"/>
  <c r="R13" i="9"/>
  <c r="O7" i="9"/>
  <c r="AA7" i="9" s="1"/>
  <c r="P7" i="9"/>
  <c r="Q7" i="9"/>
  <c r="O8" i="9"/>
  <c r="AA8" i="9" s="1"/>
  <c r="P8" i="9"/>
  <c r="Q8" i="9"/>
  <c r="O9" i="9"/>
  <c r="AA9" i="9" s="1"/>
  <c r="P9" i="9"/>
  <c r="Q9" i="9"/>
  <c r="O10" i="9"/>
  <c r="AA10" i="9" s="1"/>
  <c r="P10" i="9"/>
  <c r="Q10" i="9"/>
  <c r="O11" i="9"/>
  <c r="AA11" i="9" s="1"/>
  <c r="P11" i="9"/>
  <c r="Q11" i="9"/>
  <c r="O12" i="9"/>
  <c r="AA12" i="9" s="1"/>
  <c r="P12" i="9"/>
  <c r="Q12" i="9"/>
  <c r="O13" i="9"/>
  <c r="AA13" i="9" s="1"/>
  <c r="P13" i="9"/>
  <c r="Q13" i="9"/>
  <c r="N6" i="9"/>
  <c r="AC6" i="9" s="1"/>
  <c r="N25" i="9"/>
  <c r="AC25" i="9" s="1"/>
  <c r="AZ28" i="10" s="1"/>
  <c r="N18" i="9"/>
  <c r="AC18" i="9" s="1"/>
  <c r="AF8" i="10" s="1"/>
  <c r="N19" i="9"/>
  <c r="AC19" i="9" s="1"/>
  <c r="AF32" i="10" s="1"/>
  <c r="N20" i="9"/>
  <c r="AC20" i="9" s="1"/>
  <c r="AF24" i="10" s="1"/>
  <c r="N29" i="9"/>
  <c r="AC29" i="9" s="1"/>
  <c r="BT20" i="10" s="1"/>
  <c r="N24" i="9"/>
  <c r="AC24" i="9" s="1"/>
  <c r="AZ12" i="10" s="1"/>
  <c r="N17" i="9"/>
  <c r="AC17" i="9" s="1"/>
  <c r="AF16" i="10" s="1"/>
  <c r="N7" i="9"/>
  <c r="AC7" i="9" s="1"/>
  <c r="N8" i="9"/>
  <c r="AC8" i="9" s="1"/>
  <c r="N9" i="9"/>
  <c r="AC9" i="9" s="1"/>
  <c r="N10" i="9"/>
  <c r="AC10" i="9" s="1"/>
  <c r="N11" i="9"/>
  <c r="AC11" i="9" s="1"/>
  <c r="N12" i="9"/>
  <c r="AC12" i="9" s="1"/>
  <c r="N13" i="9"/>
  <c r="AC13" i="9" s="1"/>
  <c r="U29" i="9"/>
  <c r="U24" i="9"/>
  <c r="T29" i="9"/>
  <c r="T24" i="9"/>
  <c r="S29" i="9"/>
  <c r="S24" i="9"/>
  <c r="S25" i="9"/>
  <c r="T25" i="9"/>
  <c r="U25" i="9"/>
  <c r="T17" i="9"/>
  <c r="S17" i="9"/>
  <c r="S18" i="9"/>
  <c r="T18" i="9"/>
  <c r="U18" i="9"/>
  <c r="S19" i="9"/>
  <c r="T19" i="9"/>
  <c r="U19" i="9"/>
  <c r="S20" i="9"/>
  <c r="T20" i="9"/>
  <c r="U20" i="9"/>
  <c r="U17" i="9"/>
  <c r="T6" i="9"/>
  <c r="S6" i="9"/>
  <c r="U7" i="9"/>
  <c r="U8" i="9"/>
  <c r="U9" i="9"/>
  <c r="U10" i="9"/>
  <c r="U11" i="9"/>
  <c r="U12" i="9"/>
  <c r="U13" i="9"/>
  <c r="T7" i="9"/>
  <c r="T8" i="9"/>
  <c r="T9" i="9"/>
  <c r="T10" i="9"/>
  <c r="T11" i="9"/>
  <c r="T12" i="9"/>
  <c r="T13" i="9"/>
  <c r="S7" i="9"/>
  <c r="S8" i="9"/>
  <c r="S9" i="9"/>
  <c r="S10" i="9"/>
  <c r="S11" i="9"/>
  <c r="S12" i="9"/>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5" i="3"/>
  <c r="K5" i="3"/>
  <c r="T5" i="3" s="1"/>
  <c r="AQ64" i="7"/>
  <c r="AQ65" i="7"/>
  <c r="AQ66" i="7"/>
  <c r="AQ67" i="7"/>
  <c r="AQ68" i="7"/>
  <c r="AQ63" i="7"/>
  <c r="AQ53" i="7"/>
  <c r="AQ54" i="7"/>
  <c r="AQ55" i="7"/>
  <c r="AQ56" i="7"/>
  <c r="AQ57" i="7"/>
  <c r="AQ52" i="7"/>
  <c r="AQ42" i="7"/>
  <c r="AQ43" i="7"/>
  <c r="AQ44" i="7"/>
  <c r="AQ45" i="7"/>
  <c r="AQ46" i="7"/>
  <c r="AQ41" i="7"/>
  <c r="T7" i="16" s="1" a="1"/>
  <c r="T8" i="16" s="1"/>
  <c r="AQ31" i="7"/>
  <c r="AQ32" i="7"/>
  <c r="AQ33" i="7"/>
  <c r="AQ34" i="7"/>
  <c r="AQ35" i="7"/>
  <c r="AQ30" i="7"/>
  <c r="AQ20" i="7"/>
  <c r="AQ21" i="7"/>
  <c r="AQ22" i="7"/>
  <c r="AQ23" i="7"/>
  <c r="AQ24" i="7"/>
  <c r="AQ19" i="7"/>
  <c r="AQ8" i="7"/>
  <c r="AQ9" i="7"/>
  <c r="AQ10" i="7"/>
  <c r="AQ11" i="7"/>
  <c r="AQ12" i="7"/>
  <c r="AQ13" i="7"/>
  <c r="F7" i="9"/>
  <c r="F10" i="9"/>
  <c r="F12" i="9"/>
  <c r="F6" i="9"/>
  <c r="AC4" i="8"/>
  <c r="AC5" i="8"/>
  <c r="AC6" i="8"/>
  <c r="AC7" i="8"/>
  <c r="AC8" i="8"/>
  <c r="AC3" i="8"/>
  <c r="G3" i="1"/>
  <c r="G4" i="1"/>
  <c r="G5" i="1"/>
  <c r="G6" i="1"/>
  <c r="G7" i="1"/>
  <c r="G8" i="1"/>
  <c r="G9" i="1"/>
  <c r="G10" i="1"/>
  <c r="G11" i="1"/>
  <c r="G12" i="1"/>
  <c r="G13" i="1"/>
  <c r="G14" i="1"/>
  <c r="G15" i="1"/>
  <c r="G16" i="1"/>
  <c r="G17" i="1"/>
  <c r="G18" i="1"/>
  <c r="G19" i="1"/>
  <c r="G20" i="1"/>
  <c r="G21" i="1"/>
  <c r="G22" i="1"/>
  <c r="G23" i="1"/>
  <c r="G24" i="1"/>
  <c r="G25" i="1"/>
  <c r="G2" i="1"/>
  <c r="AR2" i="1"/>
  <c r="AR3" i="1"/>
  <c r="AR4" i="1"/>
  <c r="AR5" i="1"/>
  <c r="AR6" i="1"/>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T7" i="13" l="1" a="1"/>
  <c r="T8" i="13" s="1"/>
  <c r="T7" i="14" a="1"/>
  <c r="T7" i="14" s="1"/>
  <c r="C11" i="17"/>
  <c r="C12" i="17"/>
  <c r="T7" i="12" a="1"/>
  <c r="T8" i="12" s="1"/>
  <c r="T7" i="15" a="1"/>
  <c r="T8" i="15" s="1"/>
  <c r="C13" i="17"/>
  <c r="T9" i="14"/>
  <c r="C9" i="17"/>
  <c r="C8" i="17"/>
  <c r="T7" i="15"/>
  <c r="T12" i="14"/>
  <c r="T7" i="16"/>
  <c r="T9" i="16"/>
  <c r="T12" i="15"/>
  <c r="T11" i="15"/>
  <c r="T7" i="13"/>
  <c r="T10" i="16"/>
  <c r="T9" i="13"/>
  <c r="T12" i="16"/>
  <c r="T11" i="16"/>
  <c r="T12" i="13"/>
  <c r="T11" i="13"/>
  <c r="X24" i="9"/>
  <c r="X29" i="9"/>
  <c r="X17" i="9"/>
  <c r="W13" i="9"/>
  <c r="X13" i="9"/>
  <c r="W6" i="9"/>
  <c r="AB19" i="9"/>
  <c r="AE32" i="10" s="1"/>
  <c r="AH31" i="10" s="1"/>
  <c r="CJ31" i="10" s="1"/>
  <c r="AB13" i="9"/>
  <c r="K22" i="10" s="1"/>
  <c r="AB17" i="9"/>
  <c r="AE16" i="10" s="1"/>
  <c r="AH15" i="10" s="1"/>
  <c r="CJ15" i="10" s="1"/>
  <c r="AB20" i="9"/>
  <c r="AE24" i="10" s="1"/>
  <c r="AH23" i="10" s="1"/>
  <c r="CJ23" i="10" s="1"/>
  <c r="AB18" i="9"/>
  <c r="AB8" i="9"/>
  <c r="K30" i="10" s="1"/>
  <c r="AB10" i="9"/>
  <c r="K18" i="10" s="1"/>
  <c r="AB25" i="9"/>
  <c r="AY28" i="10" s="1"/>
  <c r="BB27" i="10" s="1"/>
  <c r="CP27" i="10" s="1"/>
  <c r="AB9" i="9"/>
  <c r="K6" i="10" s="1"/>
  <c r="AB6" i="9"/>
  <c r="K34" i="10" s="1"/>
  <c r="AB11" i="9"/>
  <c r="K14" i="10" s="1"/>
  <c r="AB24" i="9"/>
  <c r="AY12" i="10" s="1"/>
  <c r="BB11" i="10" s="1"/>
  <c r="CP11" i="10" s="1"/>
  <c r="AB29" i="9"/>
  <c r="BS20" i="10" s="1"/>
  <c r="BV19" i="10" s="1"/>
  <c r="CV19" i="10" s="1"/>
  <c r="AB7" i="9"/>
  <c r="K10" i="10" s="1"/>
  <c r="AB12" i="9"/>
  <c r="K26" i="10" s="1"/>
  <c r="X6" i="9"/>
  <c r="W17" i="9"/>
  <c r="W24" i="9"/>
  <c r="W29" i="9"/>
  <c r="X25" i="9"/>
  <c r="W25" i="9"/>
  <c r="X20" i="9"/>
  <c r="X19" i="9"/>
  <c r="X18" i="9"/>
  <c r="W20" i="9"/>
  <c r="W19" i="9"/>
  <c r="W18" i="9"/>
  <c r="X12" i="9"/>
  <c r="W12" i="9"/>
  <c r="X11" i="9"/>
  <c r="W11" i="9"/>
  <c r="X10" i="9"/>
  <c r="W10" i="9"/>
  <c r="X9" i="9"/>
  <c r="W9" i="9"/>
  <c r="X8" i="9"/>
  <c r="W8" i="9"/>
  <c r="W7" i="9"/>
  <c r="X7" i="9"/>
  <c r="T9" i="12" l="1"/>
  <c r="T9" i="15"/>
  <c r="T8" i="14"/>
  <c r="T7" i="12"/>
  <c r="T10" i="14"/>
  <c r="T10" i="13"/>
  <c r="T11" i="12"/>
  <c r="T10" i="15"/>
  <c r="T11" i="14"/>
  <c r="T12" i="12"/>
  <c r="T10" i="12"/>
  <c r="AE8" i="10"/>
  <c r="AH7" i="10" s="1"/>
  <c r="CJ7" i="10" s="1"/>
  <c r="D3" i="4"/>
  <c r="D4" i="4"/>
  <c r="D5" i="4"/>
  <c r="D6" i="4"/>
  <c r="D7" i="4"/>
  <c r="D8" i="4"/>
  <c r="D9" i="4"/>
  <c r="D10" i="4"/>
  <c r="D11" i="4"/>
  <c r="D12" i="4"/>
  <c r="D13" i="4"/>
  <c r="D14" i="4"/>
  <c r="D15" i="4"/>
  <c r="D16" i="4"/>
  <c r="D17" i="4"/>
  <c r="D18" i="4"/>
  <c r="D19" i="4"/>
  <c r="D20" i="4"/>
  <c r="D21" i="4"/>
  <c r="D22" i="4"/>
  <c r="D23" i="4"/>
  <c r="D24" i="4"/>
  <c r="D25" i="4"/>
  <c r="D26" i="4"/>
  <c r="C7" i="4"/>
  <c r="C8" i="4"/>
  <c r="C9" i="4"/>
  <c r="C10" i="4"/>
  <c r="C11" i="4"/>
  <c r="C12" i="4"/>
  <c r="C13" i="4"/>
  <c r="C14" i="4"/>
  <c r="C15" i="4"/>
  <c r="C16" i="4"/>
  <c r="C17" i="4"/>
  <c r="C18" i="4"/>
  <c r="C19" i="4"/>
  <c r="C20" i="4"/>
  <c r="C21" i="4"/>
  <c r="C22" i="4"/>
  <c r="C23" i="4"/>
  <c r="C24" i="4"/>
  <c r="C25" i="4"/>
  <c r="C26" i="4"/>
  <c r="C3" i="4"/>
  <c r="C4" i="4"/>
  <c r="C5" i="4"/>
  <c r="C6" i="4"/>
  <c r="N7" i="3"/>
  <c r="N8" i="3"/>
  <c r="N15" i="3"/>
  <c r="N16" i="3"/>
  <c r="N23" i="3"/>
  <c r="N24" i="3"/>
  <c r="N31" i="3"/>
  <c r="N32" i="3"/>
  <c r="N39" i="3"/>
  <c r="N40" i="3"/>
  <c r="F2" i="1"/>
  <c r="F3" i="1"/>
  <c r="F4" i="1"/>
  <c r="F5" i="1"/>
  <c r="F6" i="1"/>
  <c r="F7" i="1"/>
  <c r="F8" i="1"/>
  <c r="F9" i="1"/>
  <c r="F10" i="1"/>
  <c r="F11" i="1"/>
  <c r="F12" i="1"/>
  <c r="F13" i="1"/>
  <c r="F14" i="1"/>
  <c r="F15" i="1"/>
  <c r="F16" i="1"/>
  <c r="F17" i="1"/>
  <c r="F18" i="1"/>
  <c r="F19" i="1"/>
  <c r="F20" i="1"/>
  <c r="F21" i="1"/>
  <c r="F22" i="1"/>
  <c r="F23" i="1"/>
  <c r="F24" i="1"/>
  <c r="F25" i="1"/>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K6" i="3"/>
  <c r="T6" i="3" s="1"/>
  <c r="K7" i="3"/>
  <c r="T7" i="3" s="1"/>
  <c r="K8" i="3"/>
  <c r="T8" i="3" s="1"/>
  <c r="K9" i="3"/>
  <c r="T9" i="3" s="1"/>
  <c r="K10" i="3"/>
  <c r="T10" i="3" s="1"/>
  <c r="K11" i="3"/>
  <c r="T11" i="3" s="1"/>
  <c r="K12" i="3"/>
  <c r="T12" i="3" s="1"/>
  <c r="K13" i="3"/>
  <c r="T13" i="3" s="1"/>
  <c r="K14" i="3"/>
  <c r="T14" i="3" s="1"/>
  <c r="K15" i="3"/>
  <c r="T15" i="3" s="1"/>
  <c r="K16" i="3"/>
  <c r="T16" i="3" s="1"/>
  <c r="K17" i="3"/>
  <c r="T17" i="3" s="1"/>
  <c r="K18" i="3"/>
  <c r="T18" i="3" s="1"/>
  <c r="K19" i="3"/>
  <c r="T19" i="3" s="1"/>
  <c r="K20" i="3"/>
  <c r="T20" i="3" s="1"/>
  <c r="K21" i="3"/>
  <c r="T21" i="3" s="1"/>
  <c r="K22" i="3"/>
  <c r="T22" i="3" s="1"/>
  <c r="K23" i="3"/>
  <c r="T23" i="3" s="1"/>
  <c r="K24" i="3"/>
  <c r="T24" i="3" s="1"/>
  <c r="K25" i="3"/>
  <c r="T25" i="3" s="1"/>
  <c r="K26" i="3"/>
  <c r="T26" i="3" s="1"/>
  <c r="K27" i="3"/>
  <c r="T27" i="3" s="1"/>
  <c r="K28" i="3"/>
  <c r="T28" i="3" s="1"/>
  <c r="K29" i="3"/>
  <c r="T29" i="3" s="1"/>
  <c r="K30" i="3"/>
  <c r="T30" i="3" s="1"/>
  <c r="K31" i="3"/>
  <c r="T31" i="3" s="1"/>
  <c r="K32" i="3"/>
  <c r="T32" i="3" s="1"/>
  <c r="K33" i="3"/>
  <c r="T33" i="3" s="1"/>
  <c r="K34" i="3"/>
  <c r="T34" i="3" s="1"/>
  <c r="K35" i="3"/>
  <c r="T35" i="3" s="1"/>
  <c r="K36" i="3"/>
  <c r="T36" i="3" s="1"/>
  <c r="K37" i="3"/>
  <c r="T37" i="3" s="1"/>
  <c r="K38" i="3"/>
  <c r="T38" i="3" s="1"/>
  <c r="K39" i="3"/>
  <c r="T39" i="3" s="1"/>
  <c r="K40" i="3"/>
  <c r="T40" i="3" s="1"/>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C5" i="3"/>
  <c r="C6" i="3"/>
  <c r="C7" i="3"/>
  <c r="C8" i="3"/>
  <c r="C9" i="3"/>
  <c r="C10" i="3"/>
  <c r="R10" i="3" s="1"/>
  <c r="C11" i="3"/>
  <c r="R11" i="3" s="1"/>
  <c r="C12" i="3"/>
  <c r="C13" i="3"/>
  <c r="C14" i="3"/>
  <c r="C15" i="3"/>
  <c r="C16" i="3"/>
  <c r="C17" i="3"/>
  <c r="C18" i="3"/>
  <c r="R18" i="3" s="1"/>
  <c r="C19" i="3"/>
  <c r="R19" i="3" s="1"/>
  <c r="C20" i="3"/>
  <c r="C21" i="3"/>
  <c r="C22" i="3"/>
  <c r="C23" i="3"/>
  <c r="C24" i="3"/>
  <c r="C25" i="3"/>
  <c r="C26" i="3"/>
  <c r="R26" i="3" s="1"/>
  <c r="C27" i="3"/>
  <c r="R27" i="3" s="1"/>
  <c r="C28" i="3"/>
  <c r="C29" i="3"/>
  <c r="C30" i="3"/>
  <c r="C31" i="3"/>
  <c r="C32" i="3"/>
  <c r="C33" i="3"/>
  <c r="C34" i="3"/>
  <c r="R34" i="3" s="1"/>
  <c r="C35" i="3"/>
  <c r="R35" i="3" s="1"/>
  <c r="C36" i="3"/>
  <c r="C37" i="3"/>
  <c r="C38" i="3"/>
  <c r="C39" i="3"/>
  <c r="C40" i="3"/>
  <c r="AL7" i="4" l="1"/>
  <c r="AL15" i="4"/>
  <c r="AL23" i="4"/>
  <c r="AL8" i="4"/>
  <c r="AL16" i="4"/>
  <c r="AL24" i="4"/>
  <c r="AL20" i="4"/>
  <c r="AL5" i="4"/>
  <c r="AL9" i="4"/>
  <c r="AL17" i="4"/>
  <c r="AL25" i="4"/>
  <c r="AL10" i="4"/>
  <c r="AL18" i="4"/>
  <c r="AL26" i="4"/>
  <c r="AL12" i="4"/>
  <c r="E3" i="4"/>
  <c r="AL13" i="4"/>
  <c r="AL11" i="4"/>
  <c r="AL19" i="4"/>
  <c r="AL3" i="4"/>
  <c r="AL4" i="4"/>
  <c r="AL6" i="4"/>
  <c r="AL14" i="4"/>
  <c r="AL22" i="4"/>
  <c r="AL21" i="4"/>
  <c r="E17" i="4"/>
  <c r="E11" i="4"/>
  <c r="E26" i="4"/>
  <c r="E18" i="4"/>
  <c r="E10" i="4"/>
  <c r="E24" i="4"/>
  <c r="E16" i="4"/>
  <c r="E8" i="4"/>
  <c r="E9" i="4"/>
  <c r="E23" i="4"/>
  <c r="E15" i="4"/>
  <c r="E7" i="4"/>
  <c r="E25" i="4"/>
  <c r="E6" i="4"/>
  <c r="E22" i="4"/>
  <c r="E14" i="4"/>
  <c r="E5" i="4"/>
  <c r="E21" i="4"/>
  <c r="E13" i="4"/>
  <c r="E4" i="4"/>
  <c r="E20" i="4"/>
  <c r="E12" i="4"/>
  <c r="E19" i="4"/>
  <c r="H23" i="3"/>
  <c r="R23" i="3"/>
  <c r="G15" i="3"/>
  <c r="Z15" i="3" s="1"/>
  <c r="R15" i="3"/>
  <c r="G7" i="3"/>
  <c r="Z7" i="3" s="1"/>
  <c r="R7" i="3"/>
  <c r="G40" i="3"/>
  <c r="Z40" i="3" s="1"/>
  <c r="R40" i="3"/>
  <c r="G38" i="3"/>
  <c r="Z38" i="3" s="1"/>
  <c r="R38" i="3"/>
  <c r="G30" i="3"/>
  <c r="Z30" i="3" s="1"/>
  <c r="R30" i="3"/>
  <c r="G22" i="3"/>
  <c r="Z22" i="3" s="1"/>
  <c r="R22" i="3"/>
  <c r="G14" i="3"/>
  <c r="Z14" i="3" s="1"/>
  <c r="R14" i="3"/>
  <c r="G6" i="3"/>
  <c r="Z6" i="3" s="1"/>
  <c r="R6" i="3"/>
  <c r="G24" i="3"/>
  <c r="Z24" i="3" s="1"/>
  <c r="R24" i="3"/>
  <c r="G39" i="3"/>
  <c r="Z39" i="3" s="1"/>
  <c r="R39" i="3"/>
  <c r="G37" i="3"/>
  <c r="Z37" i="3" s="1"/>
  <c r="R37" i="3"/>
  <c r="G21" i="3"/>
  <c r="Z21" i="3" s="1"/>
  <c r="R21" i="3"/>
  <c r="G13" i="3"/>
  <c r="Z13" i="3" s="1"/>
  <c r="R13" i="3"/>
  <c r="G5" i="3"/>
  <c r="R5" i="3"/>
  <c r="G31" i="3"/>
  <c r="Z31" i="3" s="1"/>
  <c r="R31" i="3"/>
  <c r="G29" i="3"/>
  <c r="Z29" i="3" s="1"/>
  <c r="R29" i="3"/>
  <c r="G36" i="3"/>
  <c r="Z36" i="3" s="1"/>
  <c r="R36" i="3"/>
  <c r="G28" i="3"/>
  <c r="Z28" i="3" s="1"/>
  <c r="R28" i="3"/>
  <c r="G20" i="3"/>
  <c r="Z20" i="3" s="1"/>
  <c r="R20" i="3"/>
  <c r="G12" i="3"/>
  <c r="Z12" i="3" s="1"/>
  <c r="R12" i="3"/>
  <c r="G16" i="3"/>
  <c r="Z16" i="3" s="1"/>
  <c r="R16" i="3"/>
  <c r="G32" i="3"/>
  <c r="Z32" i="3" s="1"/>
  <c r="R32" i="3"/>
  <c r="G8" i="3"/>
  <c r="Z8" i="3" s="1"/>
  <c r="R8" i="3"/>
  <c r="G33" i="3"/>
  <c r="Z33" i="3" s="1"/>
  <c r="R33" i="3"/>
  <c r="G25" i="3"/>
  <c r="Z25" i="3" s="1"/>
  <c r="R25" i="3"/>
  <c r="G17" i="3"/>
  <c r="Z17" i="3" s="1"/>
  <c r="R17" i="3"/>
  <c r="G9" i="3"/>
  <c r="Z9" i="3" s="1"/>
  <c r="R9" i="3"/>
  <c r="H35" i="3"/>
  <c r="H27" i="3"/>
  <c r="H19" i="3"/>
  <c r="H11" i="3"/>
  <c r="H34" i="3"/>
  <c r="H26" i="3"/>
  <c r="H18" i="3"/>
  <c r="H10" i="3"/>
  <c r="H36" i="3"/>
  <c r="H28" i="3"/>
  <c r="H20" i="3"/>
  <c r="H12" i="3"/>
  <c r="H33" i="3"/>
  <c r="H25" i="3"/>
  <c r="H17" i="3"/>
  <c r="H9" i="3"/>
  <c r="H40" i="3"/>
  <c r="H32" i="3"/>
  <c r="H24" i="3"/>
  <c r="H16" i="3"/>
  <c r="H8" i="3"/>
  <c r="H39" i="3"/>
  <c r="H31" i="3"/>
  <c r="H15" i="3"/>
  <c r="H7" i="3"/>
  <c r="H38" i="3"/>
  <c r="H30" i="3"/>
  <c r="H22" i="3"/>
  <c r="H14" i="3"/>
  <c r="H6" i="3"/>
  <c r="H37" i="3"/>
  <c r="H29" i="3"/>
  <c r="H21" i="3"/>
  <c r="H13" i="3"/>
  <c r="H5" i="3"/>
  <c r="AP8" i="7" s="1"/>
  <c r="F34" i="3"/>
  <c r="U34" i="3" s="1"/>
  <c r="F26" i="3"/>
  <c r="U26" i="3" s="1"/>
  <c r="F18" i="3"/>
  <c r="U18" i="3" s="1"/>
  <c r="F10" i="3"/>
  <c r="U10" i="3" s="1"/>
  <c r="O39" i="3"/>
  <c r="P39" i="3" s="1"/>
  <c r="O7" i="3"/>
  <c r="P7" i="3" s="1"/>
  <c r="F33" i="3"/>
  <c r="U33" i="3" s="1"/>
  <c r="G23" i="3"/>
  <c r="Z23" i="3" s="1"/>
  <c r="F28" i="3"/>
  <c r="U28" i="3" s="1"/>
  <c r="F12" i="3"/>
  <c r="U12" i="3" s="1"/>
  <c r="S40" i="3"/>
  <c r="S32" i="3"/>
  <c r="S24" i="3"/>
  <c r="S16" i="3"/>
  <c r="S8" i="3"/>
  <c r="F25" i="3"/>
  <c r="U25" i="3" s="1"/>
  <c r="F36" i="3"/>
  <c r="U36" i="3" s="1"/>
  <c r="F20" i="3"/>
  <c r="U20" i="3" s="1"/>
  <c r="F35" i="3"/>
  <c r="U35" i="3" s="1"/>
  <c r="F27" i="3"/>
  <c r="U27" i="3" s="1"/>
  <c r="F19" i="3"/>
  <c r="U19" i="3" s="1"/>
  <c r="F11" i="3"/>
  <c r="U11" i="3" s="1"/>
  <c r="S39" i="3"/>
  <c r="S31" i="3"/>
  <c r="S23" i="3"/>
  <c r="S15" i="3"/>
  <c r="S7" i="3"/>
  <c r="F17" i="3"/>
  <c r="U17" i="3" s="1"/>
  <c r="F9" i="3"/>
  <c r="U9" i="3" s="1"/>
  <c r="N21" i="3"/>
  <c r="O32" i="3"/>
  <c r="P32" i="3" s="1"/>
  <c r="F40" i="3"/>
  <c r="U40" i="3" s="1"/>
  <c r="F32" i="3"/>
  <c r="U32" i="3" s="1"/>
  <c r="F24" i="3"/>
  <c r="U24" i="3" s="1"/>
  <c r="F16" i="3"/>
  <c r="U16" i="3" s="1"/>
  <c r="F8" i="3"/>
  <c r="U8" i="3" s="1"/>
  <c r="G35" i="3"/>
  <c r="Z35" i="3" s="1"/>
  <c r="G27" i="3"/>
  <c r="Z27" i="3" s="1"/>
  <c r="G19" i="3"/>
  <c r="Z19" i="3" s="1"/>
  <c r="G11" i="3"/>
  <c r="Z11" i="3" s="1"/>
  <c r="N38" i="3"/>
  <c r="O38" i="3" s="1"/>
  <c r="N20" i="3"/>
  <c r="O20" i="3" s="1"/>
  <c r="O31" i="3"/>
  <c r="P31" i="3" s="1"/>
  <c r="F39" i="3"/>
  <c r="U39" i="3" s="1"/>
  <c r="F31" i="3"/>
  <c r="U31" i="3" s="1"/>
  <c r="F23" i="3"/>
  <c r="U23" i="3" s="1"/>
  <c r="F15" i="3"/>
  <c r="U15" i="3" s="1"/>
  <c r="F7" i="3"/>
  <c r="U7" i="3" s="1"/>
  <c r="G34" i="3"/>
  <c r="Z34" i="3" s="1"/>
  <c r="G26" i="3"/>
  <c r="Z26" i="3" s="1"/>
  <c r="G18" i="3"/>
  <c r="Z18" i="3" s="1"/>
  <c r="G10" i="3"/>
  <c r="Z10" i="3" s="1"/>
  <c r="N22" i="3"/>
  <c r="O22" i="3" s="1"/>
  <c r="N37" i="3"/>
  <c r="O37" i="3" s="1"/>
  <c r="N14" i="3"/>
  <c r="O14" i="3" s="1"/>
  <c r="O24" i="3"/>
  <c r="P24" i="3" s="1"/>
  <c r="F38" i="3"/>
  <c r="U38" i="3" s="1"/>
  <c r="F30" i="3"/>
  <c r="U30" i="3" s="1"/>
  <c r="F22" i="3"/>
  <c r="U22" i="3" s="1"/>
  <c r="F14" i="3"/>
  <c r="U14" i="3" s="1"/>
  <c r="F6" i="3"/>
  <c r="U6" i="3" s="1"/>
  <c r="F5" i="3"/>
  <c r="U5" i="3" s="1"/>
  <c r="N36" i="3"/>
  <c r="O36" i="3" s="1"/>
  <c r="N13" i="3"/>
  <c r="O23" i="3"/>
  <c r="P23" i="3" s="1"/>
  <c r="F37" i="3"/>
  <c r="U37" i="3" s="1"/>
  <c r="F29" i="3"/>
  <c r="U29" i="3" s="1"/>
  <c r="F21" i="3"/>
  <c r="U21" i="3" s="1"/>
  <c r="F13" i="3"/>
  <c r="U13" i="3" s="1"/>
  <c r="N30" i="3"/>
  <c r="O30" i="3" s="1"/>
  <c r="N12" i="3"/>
  <c r="O12" i="3" s="1"/>
  <c r="O16" i="3"/>
  <c r="N29" i="3"/>
  <c r="O29" i="3" s="1"/>
  <c r="N6" i="3"/>
  <c r="O15" i="3"/>
  <c r="P15" i="3" s="1"/>
  <c r="N28" i="3"/>
  <c r="O28" i="3" s="1"/>
  <c r="O40" i="3"/>
  <c r="P40" i="3" s="1"/>
  <c r="O8" i="3"/>
  <c r="P8" i="3" s="1"/>
  <c r="N35" i="3"/>
  <c r="O35" i="3" s="1"/>
  <c r="N27" i="3"/>
  <c r="O27" i="3" s="1"/>
  <c r="N19" i="3"/>
  <c r="O19" i="3" s="1"/>
  <c r="N11" i="3"/>
  <c r="O11" i="3" s="1"/>
  <c r="N34" i="3"/>
  <c r="O34" i="3" s="1"/>
  <c r="N26" i="3"/>
  <c r="O26" i="3" s="1"/>
  <c r="N18" i="3"/>
  <c r="O18" i="3" s="1"/>
  <c r="N10" i="3"/>
  <c r="O10" i="3" s="1"/>
  <c r="S37" i="3"/>
  <c r="S29" i="3"/>
  <c r="S21" i="3"/>
  <c r="S13" i="3"/>
  <c r="S5" i="3"/>
  <c r="N33" i="3"/>
  <c r="N25" i="3"/>
  <c r="O25" i="3" s="1"/>
  <c r="N17" i="3"/>
  <c r="N9" i="3"/>
  <c r="O9" i="3" s="1"/>
  <c r="N5" i="3"/>
  <c r="S38" i="3"/>
  <c r="S30" i="3"/>
  <c r="S22" i="3"/>
  <c r="S14" i="3"/>
  <c r="S6" i="3"/>
  <c r="S33" i="3"/>
  <c r="S25" i="3"/>
  <c r="S17" i="3"/>
  <c r="S9" i="3"/>
  <c r="S34" i="3"/>
  <c r="S26" i="3"/>
  <c r="S18" i="3"/>
  <c r="S10" i="3"/>
  <c r="S36" i="3"/>
  <c r="S28" i="3"/>
  <c r="S20" i="3"/>
  <c r="S12" i="3"/>
  <c r="S27" i="3"/>
  <c r="S11" i="3"/>
  <c r="S35" i="3"/>
  <c r="S19" i="3"/>
  <c r="Z2" i="1"/>
  <c r="Z3" i="1"/>
  <c r="Z4" i="1"/>
  <c r="Z5" i="1"/>
  <c r="Z6" i="1"/>
  <c r="Z7" i="1"/>
  <c r="Z8" i="1"/>
  <c r="Z9" i="1"/>
  <c r="Z10" i="1"/>
  <c r="Z11" i="1"/>
  <c r="Z12" i="1"/>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3" i="2"/>
  <c r="L34" i="10" l="1"/>
  <c r="N33" i="10" s="1"/>
  <c r="CD33" i="10" s="1"/>
  <c r="L14" i="10"/>
  <c r="N13" i="10" s="1"/>
  <c r="CD13" i="10" s="1"/>
  <c r="L6" i="10"/>
  <c r="L30" i="10"/>
  <c r="N29" i="10" s="1"/>
  <c r="CD29" i="10" s="1"/>
  <c r="L18" i="10"/>
  <c r="N17" i="10" s="1"/>
  <c r="CD17" i="10" s="1"/>
  <c r="L22" i="10"/>
  <c r="N21" i="10" s="1"/>
  <c r="CD21" i="10" s="1"/>
  <c r="L10" i="10"/>
  <c r="N9" i="10" s="1"/>
  <c r="CD9" i="10" s="1"/>
  <c r="L26" i="10"/>
  <c r="N25" i="10" s="1"/>
  <c r="CD25" i="10" s="1"/>
  <c r="AV14" i="4" a="1"/>
  <c r="AV14" i="4" s="1"/>
  <c r="AI11" i="7"/>
  <c r="AI43" i="7"/>
  <c r="AI63" i="7"/>
  <c r="AI20" i="7"/>
  <c r="AI44" i="7"/>
  <c r="AI52" i="7"/>
  <c r="AI21" i="7"/>
  <c r="AI53" i="7"/>
  <c r="AI41" i="7"/>
  <c r="AI22" i="7"/>
  <c r="AI54" i="7"/>
  <c r="AI30" i="7"/>
  <c r="AI31" i="7"/>
  <c r="AI55" i="7"/>
  <c r="AI19" i="7"/>
  <c r="AI32" i="7"/>
  <c r="AI64" i="7"/>
  <c r="AI8" i="7"/>
  <c r="AI42" i="7"/>
  <c r="AI9" i="7"/>
  <c r="AI33" i="7"/>
  <c r="AI65" i="7"/>
  <c r="AI10" i="7"/>
  <c r="AI66" i="7"/>
  <c r="AI23" i="7"/>
  <c r="AI57" i="7"/>
  <c r="AI24" i="7"/>
  <c r="AI45" i="7"/>
  <c r="AI12" i="7"/>
  <c r="AI46" i="7"/>
  <c r="AI13" i="7"/>
  <c r="AI67" i="7"/>
  <c r="AI35" i="7"/>
  <c r="AI34" i="7"/>
  <c r="AI68" i="7"/>
  <c r="AI56" i="7"/>
  <c r="AV22" i="4" a="1"/>
  <c r="AV22" i="4" s="1"/>
  <c r="AV5" i="4" a="1"/>
  <c r="AV5" i="4" s="1"/>
  <c r="AV12" i="4" a="1"/>
  <c r="AV12" i="4" s="1"/>
  <c r="AV20" i="4" a="1"/>
  <c r="AV20" i="4" s="1"/>
  <c r="AV6" i="4" a="1"/>
  <c r="AV6" i="4" s="1"/>
  <c r="AV26" i="4" a="1"/>
  <c r="AV26" i="4" s="1"/>
  <c r="AV24" i="4" a="1"/>
  <c r="AV24" i="4" s="1"/>
  <c r="AV4" i="4" a="1"/>
  <c r="AV4" i="4" s="1"/>
  <c r="AV18" i="4" a="1"/>
  <c r="AV18" i="4" s="1"/>
  <c r="AV16" i="4" a="1"/>
  <c r="AV16" i="4" s="1"/>
  <c r="AV3" i="4" a="1"/>
  <c r="AV3" i="4" s="1"/>
  <c r="AV10" i="4" a="1"/>
  <c r="AV10" i="4" s="1"/>
  <c r="AV8" i="4" a="1"/>
  <c r="AV8" i="4" s="1"/>
  <c r="AV19" i="4" a="1"/>
  <c r="AV19" i="4" s="1"/>
  <c r="AV25" i="4" a="1"/>
  <c r="AV25" i="4" s="1"/>
  <c r="AV23" i="4" a="1"/>
  <c r="AV23" i="4" s="1"/>
  <c r="AV11" i="4" a="1"/>
  <c r="AV11" i="4" s="1"/>
  <c r="AV17" i="4" a="1"/>
  <c r="AV17" i="4" s="1"/>
  <c r="AV15" i="4" a="1"/>
  <c r="AV15" i="4" s="1"/>
  <c r="AV21" i="4" a="1"/>
  <c r="AV21" i="4" s="1"/>
  <c r="AV13" i="4" a="1"/>
  <c r="AV13" i="4" s="1"/>
  <c r="AV9" i="4" a="1"/>
  <c r="AV9" i="4" s="1"/>
  <c r="AV7" i="4" a="1"/>
  <c r="AV7" i="4" s="1"/>
  <c r="AJ21" i="7"/>
  <c r="AJ20" i="7"/>
  <c r="AJ19" i="7"/>
  <c r="AJ35" i="7"/>
  <c r="AJ34" i="7"/>
  <c r="AJ33" i="7"/>
  <c r="AJ32" i="7"/>
  <c r="AJ31" i="7"/>
  <c r="AJ30" i="7"/>
  <c r="AJ68" i="7"/>
  <c r="AJ67" i="7"/>
  <c r="AJ66" i="7"/>
  <c r="AL63" i="7"/>
  <c r="AL57" i="7"/>
  <c r="AL56" i="7"/>
  <c r="AL55" i="7"/>
  <c r="AL54" i="7"/>
  <c r="AL53" i="7"/>
  <c r="AL52" i="7"/>
  <c r="AL34" i="7"/>
  <c r="AL66" i="7"/>
  <c r="AO13" i="7"/>
  <c r="AO12" i="7"/>
  <c r="AO11" i="7"/>
  <c r="AP9" i="7"/>
  <c r="AP22" i="7"/>
  <c r="AJ65" i="7"/>
  <c r="AJ64" i="7"/>
  <c r="AJ12" i="7"/>
  <c r="AL35" i="7"/>
  <c r="AL31" i="7"/>
  <c r="AO10" i="7"/>
  <c r="AO9" i="7"/>
  <c r="AO24" i="7"/>
  <c r="AO23" i="7"/>
  <c r="AO22" i="7"/>
  <c r="AP33" i="7"/>
  <c r="AJ63" i="7"/>
  <c r="AJ57" i="7"/>
  <c r="AJ56" i="7"/>
  <c r="AJ55" i="7"/>
  <c r="AJ54" i="7"/>
  <c r="AJ53" i="7"/>
  <c r="AJ52" i="7"/>
  <c r="AL33" i="7"/>
  <c r="AM65" i="7"/>
  <c r="AM13" i="7"/>
  <c r="AM12" i="7"/>
  <c r="AM11" i="7"/>
  <c r="AO21" i="7"/>
  <c r="AO20" i="7"/>
  <c r="AO19" i="7"/>
  <c r="AO35" i="7"/>
  <c r="AO34" i="7"/>
  <c r="AO33" i="7"/>
  <c r="AO32" i="7"/>
  <c r="AO31" i="7"/>
  <c r="AO30" i="7"/>
  <c r="AO68" i="7"/>
  <c r="AO67" i="7"/>
  <c r="AO66" i="7"/>
  <c r="AL21" i="7"/>
  <c r="AL30" i="7"/>
  <c r="AL13" i="7"/>
  <c r="AL12" i="7"/>
  <c r="AL11" i="7"/>
  <c r="AM10" i="7"/>
  <c r="AM9" i="7"/>
  <c r="AM8" i="7"/>
  <c r="AM24" i="7"/>
  <c r="AM23" i="7"/>
  <c r="AM22" i="7"/>
  <c r="AO65" i="7"/>
  <c r="AO64" i="7"/>
  <c r="AJ11" i="7"/>
  <c r="AL19" i="7"/>
  <c r="AL68" i="7"/>
  <c r="AL10" i="7"/>
  <c r="AL9" i="7"/>
  <c r="AL8" i="7"/>
  <c r="AL24" i="7"/>
  <c r="AL23" i="7"/>
  <c r="AL22" i="7"/>
  <c r="AM21" i="7"/>
  <c r="AM20" i="7"/>
  <c r="AM19" i="7"/>
  <c r="AM35" i="7"/>
  <c r="AM34" i="7"/>
  <c r="AM33" i="7"/>
  <c r="AM32" i="7"/>
  <c r="AM31" i="7"/>
  <c r="AM30" i="7"/>
  <c r="AM68" i="7"/>
  <c r="AM67" i="7"/>
  <c r="AM66" i="7"/>
  <c r="AO63" i="7"/>
  <c r="AO57" i="7"/>
  <c r="AO56" i="7"/>
  <c r="AO55" i="7"/>
  <c r="AO54" i="7"/>
  <c r="AO53" i="7"/>
  <c r="AO52" i="7"/>
  <c r="AJ13" i="7"/>
  <c r="AL20" i="7"/>
  <c r="AL32" i="7"/>
  <c r="AM64" i="7"/>
  <c r="AJ10" i="7"/>
  <c r="AJ9" i="7"/>
  <c r="AJ24" i="7"/>
  <c r="AJ23" i="7"/>
  <c r="AJ22" i="7"/>
  <c r="AL65" i="7"/>
  <c r="AL64" i="7"/>
  <c r="AM63" i="7"/>
  <c r="AM57" i="7"/>
  <c r="AM56" i="7"/>
  <c r="AM55" i="7"/>
  <c r="AM54" i="7"/>
  <c r="AM53" i="7"/>
  <c r="AM52" i="7"/>
  <c r="AL67" i="7"/>
  <c r="AP44" i="7"/>
  <c r="AO46" i="7"/>
  <c r="AO45" i="7"/>
  <c r="AO44" i="7"/>
  <c r="AJ43" i="7"/>
  <c r="AO43" i="7"/>
  <c r="AO42" i="7"/>
  <c r="AO41" i="7"/>
  <c r="AJ44" i="7"/>
  <c r="AM46" i="7"/>
  <c r="AM45" i="7"/>
  <c r="AM44" i="7"/>
  <c r="AJ42" i="7"/>
  <c r="AL46" i="7"/>
  <c r="AL45" i="7"/>
  <c r="AL44" i="7"/>
  <c r="AM43" i="7"/>
  <c r="AM42" i="7"/>
  <c r="AM41" i="7"/>
  <c r="AJ46" i="7"/>
  <c r="AL43" i="7"/>
  <c r="AL42" i="7"/>
  <c r="AL41" i="7"/>
  <c r="AJ45" i="7"/>
  <c r="AJ41" i="7"/>
  <c r="O13" i="3"/>
  <c r="G19" i="4" s="1"/>
  <c r="L24" i="4"/>
  <c r="K22" i="4"/>
  <c r="L11" i="4"/>
  <c r="L12" i="4"/>
  <c r="F9" i="4"/>
  <c r="K13" i="4"/>
  <c r="L17" i="4"/>
  <c r="F6" i="4"/>
  <c r="F25" i="4"/>
  <c r="F11" i="4"/>
  <c r="K12" i="4"/>
  <c r="L9" i="4"/>
  <c r="F21" i="4"/>
  <c r="K17" i="4"/>
  <c r="L6" i="4"/>
  <c r="F15" i="4"/>
  <c r="L25" i="4"/>
  <c r="K4" i="4"/>
  <c r="Z5" i="3"/>
  <c r="AO8" i="7" s="1"/>
  <c r="V13" i="4"/>
  <c r="P6" i="4"/>
  <c r="P14" i="4"/>
  <c r="P22" i="4"/>
  <c r="P20" i="4"/>
  <c r="U23" i="4"/>
  <c r="P7" i="4"/>
  <c r="P15" i="4"/>
  <c r="P23" i="4"/>
  <c r="P3" i="4"/>
  <c r="V23" i="4"/>
  <c r="U8" i="4"/>
  <c r="U24" i="4"/>
  <c r="P8" i="4"/>
  <c r="P16" i="4"/>
  <c r="P24" i="4"/>
  <c r="P19" i="4"/>
  <c r="V8" i="4"/>
  <c r="V24" i="4"/>
  <c r="P9" i="4"/>
  <c r="P17" i="4"/>
  <c r="P25" i="4"/>
  <c r="P10" i="4"/>
  <c r="P18" i="4"/>
  <c r="P26" i="4"/>
  <c r="P11" i="4"/>
  <c r="P12" i="4"/>
  <c r="U13" i="4"/>
  <c r="P4" i="4"/>
  <c r="P13" i="4"/>
  <c r="P21" i="4"/>
  <c r="K6" i="4"/>
  <c r="L20" i="4"/>
  <c r="L10" i="4"/>
  <c r="K21" i="4"/>
  <c r="L14" i="4"/>
  <c r="F26" i="4"/>
  <c r="K15" i="4"/>
  <c r="L16" i="4"/>
  <c r="L18" i="4"/>
  <c r="F20" i="4"/>
  <c r="F16" i="4"/>
  <c r="F19" i="4"/>
  <c r="K20" i="4"/>
  <c r="F10" i="4"/>
  <c r="F5" i="4"/>
  <c r="K14" i="4"/>
  <c r="L26" i="4"/>
  <c r="F23" i="4"/>
  <c r="K16" i="4"/>
  <c r="F18" i="4"/>
  <c r="F12" i="4"/>
  <c r="F17" i="4"/>
  <c r="K24" i="4"/>
  <c r="K9" i="4"/>
  <c r="F14" i="4"/>
  <c r="K25" i="4"/>
  <c r="P36" i="3"/>
  <c r="U15" i="4" s="1"/>
  <c r="F4" i="4"/>
  <c r="K10" i="4"/>
  <c r="F22" i="4"/>
  <c r="K26" i="4"/>
  <c r="L23" i="4"/>
  <c r="F24" i="4"/>
  <c r="K18" i="4"/>
  <c r="L13" i="4"/>
  <c r="F8" i="4"/>
  <c r="K11" i="4"/>
  <c r="L21" i="4"/>
  <c r="L15" i="4"/>
  <c r="P38" i="3"/>
  <c r="F3" i="4"/>
  <c r="L4" i="4"/>
  <c r="F13" i="4"/>
  <c r="L22" i="4"/>
  <c r="F7" i="4"/>
  <c r="K23" i="4"/>
  <c r="P5" i="4"/>
  <c r="P37" i="3"/>
  <c r="V21" i="4" s="1"/>
  <c r="P35" i="3"/>
  <c r="J26" i="4"/>
  <c r="T8" i="4"/>
  <c r="J9" i="4"/>
  <c r="T24" i="4"/>
  <c r="J12" i="4"/>
  <c r="T13" i="4"/>
  <c r="J22" i="4"/>
  <c r="J4" i="4"/>
  <c r="T23" i="4"/>
  <c r="J24" i="4"/>
  <c r="J25" i="4"/>
  <c r="J16" i="4"/>
  <c r="J20" i="4"/>
  <c r="J11" i="4"/>
  <c r="J6" i="4"/>
  <c r="J10" i="4"/>
  <c r="J17" i="4"/>
  <c r="P14" i="3"/>
  <c r="T22" i="4" s="1"/>
  <c r="J18" i="4"/>
  <c r="P22" i="3"/>
  <c r="T11" i="4" s="1"/>
  <c r="J14" i="4"/>
  <c r="J21" i="4"/>
  <c r="P28" i="3"/>
  <c r="P27" i="3"/>
  <c r="J23" i="4"/>
  <c r="P26" i="3"/>
  <c r="T25" i="4" s="1"/>
  <c r="J15" i="4"/>
  <c r="P25" i="3"/>
  <c r="P20" i="3"/>
  <c r="P16" i="3"/>
  <c r="P12" i="3"/>
  <c r="T18" i="4" s="1"/>
  <c r="J13" i="4"/>
  <c r="P11" i="3"/>
  <c r="T14" i="4" s="1"/>
  <c r="P10" i="3"/>
  <c r="P9" i="3"/>
  <c r="T16" i="4" s="1"/>
  <c r="O33" i="3"/>
  <c r="P33" i="3" s="1"/>
  <c r="O21" i="3"/>
  <c r="P21" i="3" s="1"/>
  <c r="P34" i="3"/>
  <c r="T7" i="4" s="1"/>
  <c r="O17" i="3"/>
  <c r="P17" i="3" s="1"/>
  <c r="Q10" i="4" s="1"/>
  <c r="H10" i="4"/>
  <c r="Q8" i="4"/>
  <c r="H13" i="4"/>
  <c r="M17" i="4"/>
  <c r="I10" i="4"/>
  <c r="R12" i="4"/>
  <c r="Y12" i="4"/>
  <c r="I21" i="4"/>
  <c r="M26" i="4"/>
  <c r="X9" i="4"/>
  <c r="O13" i="4"/>
  <c r="N26" i="4"/>
  <c r="X18" i="4"/>
  <c r="Y26" i="4"/>
  <c r="N24" i="4"/>
  <c r="M18" i="4"/>
  <c r="Y10" i="4"/>
  <c r="Y23" i="4"/>
  <c r="R7" i="4"/>
  <c r="S22" i="4"/>
  <c r="G20" i="4"/>
  <c r="H21" i="4"/>
  <c r="R14" i="4"/>
  <c r="R19" i="4"/>
  <c r="X7" i="4"/>
  <c r="S15" i="4"/>
  <c r="S17" i="4"/>
  <c r="Y18" i="4"/>
  <c r="Y16" i="4"/>
  <c r="W21" i="4"/>
  <c r="M25" i="4"/>
  <c r="O26" i="4"/>
  <c r="G22" i="4"/>
  <c r="N17" i="4"/>
  <c r="M13" i="4"/>
  <c r="O10" i="4"/>
  <c r="W8" i="4"/>
  <c r="O17" i="4"/>
  <c r="N25" i="4"/>
  <c r="X17" i="4"/>
  <c r="O21" i="4"/>
  <c r="M21" i="4"/>
  <c r="S24" i="4"/>
  <c r="R10" i="4"/>
  <c r="Y17" i="4"/>
  <c r="W17" i="4"/>
  <c r="H18" i="4"/>
  <c r="S8" i="4"/>
  <c r="M9" i="4"/>
  <c r="M10" i="4"/>
  <c r="X12" i="4"/>
  <c r="W20" i="4"/>
  <c r="R13" i="4"/>
  <c r="Q24" i="4"/>
  <c r="S11" i="4"/>
  <c r="W12" i="4"/>
  <c r="X20" i="4"/>
  <c r="X23" i="4"/>
  <c r="W25" i="4"/>
  <c r="O25" i="4"/>
  <c r="Y20" i="4"/>
  <c r="S26" i="4"/>
  <c r="S18" i="4"/>
  <c r="G25" i="4"/>
  <c r="X25" i="4"/>
  <c r="S13" i="4"/>
  <c r="Q13" i="4"/>
  <c r="R9" i="4"/>
  <c r="G18" i="4"/>
  <c r="R18" i="4"/>
  <c r="G24" i="4"/>
  <c r="W26" i="4"/>
  <c r="G26" i="4"/>
  <c r="W9" i="4"/>
  <c r="H20" i="4"/>
  <c r="R11" i="4"/>
  <c r="X8" i="4"/>
  <c r="R8" i="4"/>
  <c r="X14" i="4"/>
  <c r="X22" i="4"/>
  <c r="S7" i="4"/>
  <c r="X11" i="4"/>
  <c r="W7" i="4"/>
  <c r="Y15" i="4"/>
  <c r="N10" i="4"/>
  <c r="M16" i="4"/>
  <c r="N9" i="4"/>
  <c r="S10" i="4"/>
  <c r="G12" i="4"/>
  <c r="G17" i="4"/>
  <c r="H25" i="4"/>
  <c r="S21" i="4"/>
  <c r="I13" i="4"/>
  <c r="X21" i="4"/>
  <c r="W10" i="4"/>
  <c r="R17" i="4"/>
  <c r="R26" i="4"/>
  <c r="H24" i="4"/>
  <c r="X26" i="4"/>
  <c r="H26" i="4"/>
  <c r="W18" i="4"/>
  <c r="H9" i="4"/>
  <c r="R22" i="4"/>
  <c r="G13" i="4"/>
  <c r="R16" i="4"/>
  <c r="Y11" i="4"/>
  <c r="R21" i="4"/>
  <c r="S23" i="4"/>
  <c r="W15" i="4"/>
  <c r="W23" i="4"/>
  <c r="S19" i="4"/>
  <c r="I18" i="4"/>
  <c r="Y19" i="4"/>
  <c r="X24" i="4"/>
  <c r="I9" i="4"/>
  <c r="Y13" i="4"/>
  <c r="G21" i="4"/>
  <c r="N18" i="4"/>
  <c r="R25" i="4"/>
  <c r="G10" i="4"/>
  <c r="S16" i="4"/>
  <c r="I26" i="4"/>
  <c r="I16" i="4"/>
  <c r="X16" i="4"/>
  <c r="H12" i="4"/>
  <c r="S20" i="4"/>
  <c r="R20" i="4"/>
  <c r="R24" i="4"/>
  <c r="Y7" i="4"/>
  <c r="W22" i="4"/>
  <c r="X19" i="4"/>
  <c r="Q23" i="4"/>
  <c r="Y22" i="4"/>
  <c r="G23" i="4"/>
  <c r="I7" i="4"/>
  <c r="I22" i="4"/>
  <c r="M19" i="4"/>
  <c r="N14" i="4"/>
  <c r="O7" i="4"/>
  <c r="O20" i="4"/>
  <c r="G14" i="4"/>
  <c r="H19" i="4"/>
  <c r="N11" i="4"/>
  <c r="O16" i="4"/>
  <c r="H23" i="4"/>
  <c r="N12" i="4"/>
  <c r="N23" i="4"/>
  <c r="O19" i="4"/>
  <c r="H7" i="4"/>
  <c r="I8" i="4"/>
  <c r="I23" i="4"/>
  <c r="M20" i="4"/>
  <c r="N15" i="4"/>
  <c r="O8" i="4"/>
  <c r="O22" i="4"/>
  <c r="H15" i="4"/>
  <c r="M12" i="4"/>
  <c r="N21" i="4"/>
  <c r="M15" i="4"/>
  <c r="H8" i="4"/>
  <c r="I11" i="4"/>
  <c r="M7" i="4"/>
  <c r="M22" i="4"/>
  <c r="N16" i="4"/>
  <c r="O11" i="4"/>
  <c r="O23" i="4"/>
  <c r="M14" i="4"/>
  <c r="N22" i="4"/>
  <c r="H11" i="4"/>
  <c r="I12" i="4"/>
  <c r="M8" i="4"/>
  <c r="M23" i="4"/>
  <c r="N19" i="4"/>
  <c r="O12" i="4"/>
  <c r="O24" i="4"/>
  <c r="I15" i="4"/>
  <c r="N8" i="4"/>
  <c r="O15" i="4"/>
  <c r="I20" i="4"/>
  <c r="H14" i="4"/>
  <c r="I14" i="4"/>
  <c r="M11" i="4"/>
  <c r="N7" i="4"/>
  <c r="N20" i="4"/>
  <c r="O14" i="4"/>
  <c r="G11" i="4"/>
  <c r="I19" i="4"/>
  <c r="G15" i="4"/>
  <c r="I25" i="4"/>
  <c r="W13" i="4"/>
  <c r="M24" i="4"/>
  <c r="X13" i="4"/>
  <c r="H17" i="4"/>
  <c r="S12" i="4"/>
  <c r="S25" i="4"/>
  <c r="O9" i="4"/>
  <c r="Y25" i="4"/>
  <c r="H16" i="4"/>
  <c r="Y8" i="4"/>
  <c r="R23" i="4"/>
  <c r="W11" i="4"/>
  <c r="I17" i="4"/>
  <c r="S9" i="4"/>
  <c r="Y21" i="4"/>
  <c r="N13" i="4"/>
  <c r="X10" i="4"/>
  <c r="W24" i="4"/>
  <c r="I24" i="4"/>
  <c r="W16" i="4"/>
  <c r="Y24" i="4"/>
  <c r="G16" i="4"/>
  <c r="Y9" i="4"/>
  <c r="H22" i="4"/>
  <c r="W19" i="4"/>
  <c r="W14" i="4"/>
  <c r="G9" i="4"/>
  <c r="X15" i="4"/>
  <c r="O18" i="4"/>
  <c r="Y14" i="4"/>
  <c r="R15" i="4"/>
  <c r="S14" i="4"/>
  <c r="P18" i="3"/>
  <c r="P30" i="3"/>
  <c r="P29" i="3"/>
  <c r="Q3" i="4" s="1"/>
  <c r="P19" i="3"/>
  <c r="O6" i="3"/>
  <c r="L5" i="4" s="1"/>
  <c r="R6" i="4"/>
  <c r="W6" i="4"/>
  <c r="AJ8" i="7"/>
  <c r="N3" i="4"/>
  <c r="I3" i="4"/>
  <c r="N4" i="4"/>
  <c r="I4" i="4"/>
  <c r="N5" i="4"/>
  <c r="I5" i="4"/>
  <c r="H6" i="4"/>
  <c r="N6" i="4"/>
  <c r="I6" i="4"/>
  <c r="M6" i="4"/>
  <c r="O3" i="4"/>
  <c r="M3" i="4"/>
  <c r="H3" i="4"/>
  <c r="O4" i="4"/>
  <c r="M4" i="4"/>
  <c r="H4" i="4"/>
  <c r="G4" i="4"/>
  <c r="O6" i="4"/>
  <c r="O5" i="4"/>
  <c r="M5" i="4"/>
  <c r="H5" i="4"/>
  <c r="G6" i="4"/>
  <c r="X4" i="4"/>
  <c r="Y6" i="4"/>
  <c r="W4" i="4"/>
  <c r="R4" i="4"/>
  <c r="S6" i="4"/>
  <c r="Y4" i="4"/>
  <c r="X5" i="4"/>
  <c r="S4" i="4"/>
  <c r="R5" i="4"/>
  <c r="R3" i="4"/>
  <c r="S3" i="4"/>
  <c r="W5" i="4"/>
  <c r="W3" i="4"/>
  <c r="S5" i="4"/>
  <c r="X6" i="4"/>
  <c r="X3" i="4"/>
  <c r="Y5" i="4"/>
  <c r="Y3" i="4"/>
  <c r="O5" i="3"/>
  <c r="G3" i="4" s="1"/>
  <c r="AP55" i="7"/>
  <c r="AP66" i="7"/>
  <c r="AP11" i="7"/>
  <c r="AP65" i="7"/>
  <c r="AP10" i="7"/>
  <c r="AP32" i="7"/>
  <c r="AP54" i="7"/>
  <c r="AP21" i="7"/>
  <c r="P13" i="3" l="1"/>
  <c r="AP67" i="7"/>
  <c r="N5" i="10"/>
  <c r="CD5" i="10" s="1"/>
  <c r="Z3" i="4"/>
  <c r="AP13" i="7"/>
  <c r="Z10" i="4"/>
  <c r="AN67" i="7"/>
  <c r="AK22" i="7"/>
  <c r="AN22" i="7"/>
  <c r="AK23" i="7"/>
  <c r="AN23" i="7"/>
  <c r="AN11" i="7"/>
  <c r="AK11" i="7"/>
  <c r="AN56" i="7"/>
  <c r="AK56" i="7"/>
  <c r="AN41" i="7"/>
  <c r="AK41" i="7"/>
  <c r="AN44" i="7"/>
  <c r="AK44" i="7"/>
  <c r="AK32" i="7"/>
  <c r="AN32" i="7"/>
  <c r="AK24" i="7"/>
  <c r="AN24" i="7"/>
  <c r="AK12" i="7"/>
  <c r="AN12" i="7"/>
  <c r="AK57" i="7"/>
  <c r="AN57" i="7"/>
  <c r="AK42" i="7"/>
  <c r="AN42" i="7"/>
  <c r="AN45" i="7"/>
  <c r="AK45" i="7"/>
  <c r="AK20" i="7"/>
  <c r="AN20" i="7"/>
  <c r="AK8" i="7"/>
  <c r="AN8" i="7"/>
  <c r="AN13" i="7"/>
  <c r="AK13" i="7"/>
  <c r="AK66" i="7"/>
  <c r="AN66" i="7"/>
  <c r="AK63" i="7"/>
  <c r="AN63" i="7"/>
  <c r="AK43" i="7"/>
  <c r="AN43" i="7"/>
  <c r="AK46" i="7"/>
  <c r="AN46" i="7"/>
  <c r="AK9" i="7"/>
  <c r="AN9" i="7"/>
  <c r="AK30" i="7"/>
  <c r="AN30" i="7"/>
  <c r="AK34" i="7"/>
  <c r="AN34" i="7"/>
  <c r="AK55" i="7"/>
  <c r="AN55" i="7"/>
  <c r="AK10" i="7"/>
  <c r="AN10" i="7"/>
  <c r="AN21" i="7"/>
  <c r="AK21" i="7"/>
  <c r="AK33" i="7"/>
  <c r="AN33" i="7"/>
  <c r="AK31" i="7"/>
  <c r="AN31" i="7"/>
  <c r="AK52" i="7"/>
  <c r="AN52" i="7"/>
  <c r="AN65" i="7"/>
  <c r="AK65" i="7"/>
  <c r="AN68" i="7"/>
  <c r="AK35" i="7"/>
  <c r="AN35" i="7"/>
  <c r="AK53" i="7"/>
  <c r="AN53" i="7"/>
  <c r="AK68" i="7"/>
  <c r="AK64" i="7"/>
  <c r="AN64" i="7"/>
  <c r="AK19" i="7"/>
  <c r="AN19" i="7"/>
  <c r="AN54" i="7"/>
  <c r="AK54" i="7"/>
  <c r="AK67" i="7"/>
  <c r="Q15" i="4"/>
  <c r="AA15" i="4" s="1"/>
  <c r="AP31" i="7"/>
  <c r="Z8" i="4"/>
  <c r="AP52" i="7"/>
  <c r="Z7" i="4"/>
  <c r="Z17" i="4"/>
  <c r="AP68" i="7"/>
  <c r="AP20" i="7"/>
  <c r="AP53" i="7"/>
  <c r="AP64" i="7"/>
  <c r="AP30" i="7"/>
  <c r="K19" i="4"/>
  <c r="Z20" i="4"/>
  <c r="AP56" i="7"/>
  <c r="J19" i="4"/>
  <c r="L19" i="4"/>
  <c r="AP57" i="7"/>
  <c r="AP34" i="7"/>
  <c r="AP23" i="7"/>
  <c r="AP63" i="7"/>
  <c r="AP35" i="7"/>
  <c r="AP24" i="7"/>
  <c r="AP12" i="7"/>
  <c r="AP46" i="7"/>
  <c r="AP19" i="7"/>
  <c r="Z13" i="4"/>
  <c r="AP41" i="7"/>
  <c r="U17" i="4"/>
  <c r="AF17" i="4" s="1"/>
  <c r="AP42" i="7"/>
  <c r="AP43" i="7"/>
  <c r="Z12" i="4"/>
  <c r="AP45" i="7"/>
  <c r="Z18" i="4"/>
  <c r="Z23" i="4"/>
  <c r="Q11" i="4"/>
  <c r="AA11" i="4" s="1"/>
  <c r="AG24" i="4"/>
  <c r="V15" i="4"/>
  <c r="AG15" i="4" s="1"/>
  <c r="AF23" i="4"/>
  <c r="Z21" i="4"/>
  <c r="Q22" i="4"/>
  <c r="AA22" i="4" s="1"/>
  <c r="Q25" i="4"/>
  <c r="AA25" i="4" s="1"/>
  <c r="U21" i="4"/>
  <c r="AF21" i="4" s="1"/>
  <c r="V25" i="4"/>
  <c r="AG25" i="4" s="1"/>
  <c r="U9" i="4"/>
  <c r="AF9" i="4" s="1"/>
  <c r="U12" i="4"/>
  <c r="AF12" i="4" s="1"/>
  <c r="Z14" i="4"/>
  <c r="T15" i="4"/>
  <c r="AE15" i="4" s="1"/>
  <c r="Z5" i="4"/>
  <c r="Q21" i="4"/>
  <c r="AA21" i="4" s="1"/>
  <c r="V17" i="4"/>
  <c r="AG17" i="4" s="1"/>
  <c r="U25" i="4"/>
  <c r="AF25" i="4" s="1"/>
  <c r="L7" i="4"/>
  <c r="T19" i="4"/>
  <c r="Z19" i="4"/>
  <c r="T17" i="4"/>
  <c r="AE17" i="4" s="1"/>
  <c r="T26" i="4"/>
  <c r="AE26" i="4" s="1"/>
  <c r="Z6" i="4"/>
  <c r="AG23" i="4"/>
  <c r="AF24" i="4"/>
  <c r="Q19" i="4"/>
  <c r="AA19" i="4" s="1"/>
  <c r="V9" i="4"/>
  <c r="AG9" i="4" s="1"/>
  <c r="K5" i="4"/>
  <c r="T3" i="4"/>
  <c r="V22" i="4"/>
  <c r="AG22" i="4" s="1"/>
  <c r="Z9" i="4"/>
  <c r="V18" i="4"/>
  <c r="AG18" i="4" s="1"/>
  <c r="U19" i="4"/>
  <c r="AG21" i="4"/>
  <c r="AF15" i="4"/>
  <c r="U3" i="4"/>
  <c r="V16" i="4"/>
  <c r="AG16" i="4" s="1"/>
  <c r="V26" i="4"/>
  <c r="AG26" i="4" s="1"/>
  <c r="V14" i="4"/>
  <c r="AG14" i="4" s="1"/>
  <c r="U22" i="4"/>
  <c r="AF22" i="4" s="1"/>
  <c r="Z11" i="4"/>
  <c r="AF13" i="4"/>
  <c r="G7" i="4"/>
  <c r="Q7" i="4"/>
  <c r="T12" i="4"/>
  <c r="AE12" i="4" s="1"/>
  <c r="T21" i="4"/>
  <c r="AE21" i="4" s="1"/>
  <c r="K3" i="4"/>
  <c r="AG13" i="4"/>
  <c r="Z4" i="4"/>
  <c r="Z26" i="4"/>
  <c r="U11" i="4"/>
  <c r="AF11" i="4" s="1"/>
  <c r="V12" i="4"/>
  <c r="AG12" i="4" s="1"/>
  <c r="U26" i="4"/>
  <c r="AF26" i="4" s="1"/>
  <c r="U16" i="4"/>
  <c r="AF16" i="4" s="1"/>
  <c r="U14" i="4"/>
  <c r="AF14" i="4" s="1"/>
  <c r="K8" i="4"/>
  <c r="AF8" i="4" s="1"/>
  <c r="Z25" i="4"/>
  <c r="Z22" i="4"/>
  <c r="U7" i="4"/>
  <c r="L3" i="4"/>
  <c r="U18" i="4"/>
  <c r="AF18" i="4" s="1"/>
  <c r="V3" i="4"/>
  <c r="Z15" i="4"/>
  <c r="L8" i="4"/>
  <c r="AG8" i="4" s="1"/>
  <c r="V10" i="4"/>
  <c r="AG10" i="4" s="1"/>
  <c r="V7" i="4"/>
  <c r="J3" i="4"/>
  <c r="Z24" i="4"/>
  <c r="Z16" i="4"/>
  <c r="V11" i="4"/>
  <c r="AG11" i="4" s="1"/>
  <c r="U10" i="4"/>
  <c r="AF10" i="4" s="1"/>
  <c r="V19" i="4"/>
  <c r="K7" i="4"/>
  <c r="T5" i="4"/>
  <c r="V5" i="4"/>
  <c r="AG5" i="4" s="1"/>
  <c r="U5" i="4"/>
  <c r="AE22" i="4"/>
  <c r="AE24" i="4"/>
  <c r="AC8" i="4"/>
  <c r="AE14" i="4"/>
  <c r="AE11" i="4"/>
  <c r="AE13" i="4"/>
  <c r="AI18" i="4"/>
  <c r="Q16" i="4"/>
  <c r="AA16" i="4" s="1"/>
  <c r="AE18" i="4"/>
  <c r="Q18" i="4"/>
  <c r="AA18" i="4" s="1"/>
  <c r="T9" i="4"/>
  <c r="AE9" i="4" s="1"/>
  <c r="AE16" i="4"/>
  <c r="G8" i="4"/>
  <c r="AA8" i="4" s="1"/>
  <c r="J8" i="4"/>
  <c r="AE8" i="4" s="1"/>
  <c r="AD15" i="4"/>
  <c r="P6" i="3"/>
  <c r="Q6" i="4" s="1"/>
  <c r="AA6" i="4" s="1"/>
  <c r="J5" i="4"/>
  <c r="AE25" i="4"/>
  <c r="J7" i="4"/>
  <c r="AE7" i="4" s="1"/>
  <c r="Q26" i="4"/>
  <c r="AA26" i="4" s="1"/>
  <c r="AE23" i="4"/>
  <c r="Q14" i="4"/>
  <c r="AA14" i="4" s="1"/>
  <c r="Q17" i="4"/>
  <c r="AA17" i="4" s="1"/>
  <c r="T10" i="4"/>
  <c r="AE10" i="4" s="1"/>
  <c r="Q12" i="4"/>
  <c r="AA12" i="4" s="1"/>
  <c r="AD22" i="4"/>
  <c r="AI14" i="4"/>
  <c r="AH23" i="4"/>
  <c r="AH10" i="4"/>
  <c r="AC10" i="4"/>
  <c r="Q9" i="4"/>
  <c r="AA9" i="4" s="1"/>
  <c r="AD21" i="4"/>
  <c r="AD24" i="4"/>
  <c r="AD9" i="4"/>
  <c r="AH9" i="4"/>
  <c r="AH18" i="4"/>
  <c r="AJ25" i="4"/>
  <c r="AH17" i="4"/>
  <c r="AJ13" i="4"/>
  <c r="AJ20" i="4"/>
  <c r="AI7" i="4"/>
  <c r="AC18" i="4"/>
  <c r="AC9" i="4"/>
  <c r="AC11" i="4"/>
  <c r="AC25" i="4"/>
  <c r="AD18" i="4"/>
  <c r="AC16" i="4"/>
  <c r="AA10" i="4"/>
  <c r="AJ21" i="4"/>
  <c r="AI26" i="4"/>
  <c r="AJ24" i="4"/>
  <c r="AD25" i="4"/>
  <c r="AJ19" i="4"/>
  <c r="AD10" i="4"/>
  <c r="AI25" i="4"/>
  <c r="AJ15" i="4"/>
  <c r="AJ26" i="4"/>
  <c r="AI8" i="4"/>
  <c r="AD26" i="4"/>
  <c r="AA24" i="4"/>
  <c r="AH21" i="4"/>
  <c r="AI17" i="4"/>
  <c r="Q5" i="4"/>
  <c r="AC19" i="4"/>
  <c r="AC12" i="4"/>
  <c r="AI11" i="4"/>
  <c r="AH25" i="4"/>
  <c r="AJ17" i="4"/>
  <c r="AD17" i="4"/>
  <c r="AJ22" i="4"/>
  <c r="AJ7" i="4"/>
  <c r="AI9" i="4"/>
  <c r="AJ10" i="4"/>
  <c r="AJ14" i="4"/>
  <c r="AH7" i="4"/>
  <c r="AD16" i="4"/>
  <c r="AH16" i="4"/>
  <c r="AH13" i="4"/>
  <c r="AH24" i="4"/>
  <c r="AD11" i="4"/>
  <c r="AI10" i="4"/>
  <c r="AI13" i="4"/>
  <c r="AH14" i="4"/>
  <c r="AD23" i="4"/>
  <c r="AD13" i="4"/>
  <c r="AH8" i="4"/>
  <c r="AD12" i="4"/>
  <c r="AI21" i="4"/>
  <c r="AC21" i="4"/>
  <c r="AI24" i="4"/>
  <c r="AH26" i="4"/>
  <c r="AI22" i="4"/>
  <c r="AJ16" i="4"/>
  <c r="AJ8" i="4"/>
  <c r="AI12" i="4"/>
  <c r="AI20" i="4"/>
  <c r="AI15" i="4"/>
  <c r="AC23" i="4"/>
  <c r="AH19" i="4"/>
  <c r="AH22" i="4"/>
  <c r="AH12" i="4"/>
  <c r="AJ18" i="4"/>
  <c r="AJ12" i="4"/>
  <c r="AI16" i="4"/>
  <c r="AH20" i="4"/>
  <c r="P5" i="3"/>
  <c r="AC22" i="4"/>
  <c r="AH11" i="4"/>
  <c r="AH15" i="4"/>
  <c r="AD7" i="4"/>
  <c r="AJ11" i="4"/>
  <c r="AC24" i="4"/>
  <c r="AD8" i="4"/>
  <c r="AC7" i="4"/>
  <c r="AC15" i="4"/>
  <c r="AD14" i="4"/>
  <c r="AA23" i="4"/>
  <c r="AC26" i="4"/>
  <c r="AJ23" i="4"/>
  <c r="AI23" i="4"/>
  <c r="AJ9" i="4"/>
  <c r="AC14" i="4"/>
  <c r="AI19" i="4"/>
  <c r="AD20" i="4"/>
  <c r="AD19" i="4"/>
  <c r="AC17" i="4"/>
  <c r="AC20" i="4"/>
  <c r="AA13" i="4"/>
  <c r="AC13" i="4"/>
  <c r="AC6" i="4"/>
  <c r="AJ4" i="4"/>
  <c r="AD5" i="4"/>
  <c r="AD6" i="4"/>
  <c r="AD3" i="4"/>
  <c r="AC4" i="4"/>
  <c r="AI6" i="4"/>
  <c r="AI3" i="4"/>
  <c r="AH4" i="4"/>
  <c r="AC5" i="4"/>
  <c r="AC3" i="4"/>
  <c r="AI5" i="4"/>
  <c r="AH5" i="4"/>
  <c r="AH3" i="4"/>
  <c r="AD4" i="4"/>
  <c r="AJ5" i="4"/>
  <c r="AJ3" i="4"/>
  <c r="AI4" i="4"/>
  <c r="AJ6" i="4"/>
  <c r="AH6" i="4"/>
  <c r="AA3" i="4"/>
  <c r="G5" i="4"/>
  <c r="Q7" i="14" l="1" a="1"/>
  <c r="R9" i="14" s="1"/>
  <c r="Q7" i="15" a="1"/>
  <c r="R7" i="15" s="1"/>
  <c r="Q12" i="14"/>
  <c r="U7" i="15" a="1"/>
  <c r="V11" i="15" s="1"/>
  <c r="Q7" i="12" a="1"/>
  <c r="R9" i="12" s="1"/>
  <c r="U7" i="14" a="1"/>
  <c r="Q7" i="16" a="1"/>
  <c r="R9" i="16" s="1"/>
  <c r="U7" i="12" a="1"/>
  <c r="U12" i="12" s="1"/>
  <c r="Q7" i="13" a="1"/>
  <c r="S8" i="13" s="1"/>
  <c r="U7" i="16" a="1"/>
  <c r="U7" i="13" a="1"/>
  <c r="V20" i="4"/>
  <c r="AG20" i="4" s="1"/>
  <c r="Q20" i="4"/>
  <c r="AA20" i="4" s="1"/>
  <c r="T20" i="4"/>
  <c r="AE20" i="4" s="1"/>
  <c r="U20" i="4"/>
  <c r="AF20" i="4" s="1"/>
  <c r="BL7" i="7" a="1"/>
  <c r="BM9" i="7" s="1"/>
  <c r="BH7" i="7" a="1"/>
  <c r="BH7" i="7" s="1"/>
  <c r="AF19" i="4"/>
  <c r="AG19" i="4"/>
  <c r="AE19" i="4"/>
  <c r="BK7" i="7" a="1"/>
  <c r="BK11" i="7" s="1"/>
  <c r="AF7" i="4"/>
  <c r="AE5" i="4"/>
  <c r="AG7" i="4"/>
  <c r="AB8" i="4"/>
  <c r="AF3" i="4"/>
  <c r="AG3" i="4"/>
  <c r="AA7" i="4"/>
  <c r="U4" i="4"/>
  <c r="AF4" i="4" s="1"/>
  <c r="V4" i="4"/>
  <c r="AG4" i="4" s="1"/>
  <c r="T6" i="4"/>
  <c r="AE6" i="4" s="1"/>
  <c r="U6" i="4"/>
  <c r="AF6" i="4" s="1"/>
  <c r="V6" i="4"/>
  <c r="AG6" i="4" s="1"/>
  <c r="AF5" i="4"/>
  <c r="AE3" i="4"/>
  <c r="AK18" i="4"/>
  <c r="AK14" i="4"/>
  <c r="AK23" i="4"/>
  <c r="Q4" i="4"/>
  <c r="AA4" i="4" s="1"/>
  <c r="T4" i="4"/>
  <c r="AE4" i="4" s="1"/>
  <c r="AT6" i="4" a="1"/>
  <c r="AT6" i="4" s="1"/>
  <c r="AR3" i="4" a="1"/>
  <c r="AR3" i="4" s="1"/>
  <c r="AK10" i="4"/>
  <c r="AT16" i="4" a="1"/>
  <c r="AT16" i="4" s="1"/>
  <c r="AT13" i="4" a="1"/>
  <c r="AT13" i="4" s="1"/>
  <c r="AT4" i="4" a="1"/>
  <c r="AT4" i="4" s="1"/>
  <c r="AT17" i="4" a="1"/>
  <c r="AT17" i="4" s="1"/>
  <c r="AT14" i="4" a="1"/>
  <c r="AT14" i="4" s="1"/>
  <c r="AT19" i="4" a="1"/>
  <c r="AT19" i="4" s="1"/>
  <c r="AT11" i="4" a="1"/>
  <c r="AT11" i="4" s="1"/>
  <c r="AT12" i="4" a="1"/>
  <c r="AT12" i="4" s="1"/>
  <c r="AT10" i="4" a="1"/>
  <c r="AT10" i="4" s="1"/>
  <c r="AT25" i="4" a="1"/>
  <c r="AT25" i="4" s="1"/>
  <c r="AT3" i="4" a="1"/>
  <c r="AT3" i="4" s="1"/>
  <c r="AT5" i="4" a="1"/>
  <c r="AT5" i="4" s="1"/>
  <c r="AT24" i="4" a="1"/>
  <c r="AT24" i="4" s="1"/>
  <c r="AT9" i="4" a="1"/>
  <c r="AT9" i="4" s="1"/>
  <c r="AT18" i="4" a="1"/>
  <c r="AT18" i="4" s="1"/>
  <c r="AT8" i="4" a="1"/>
  <c r="AT8" i="4" s="1"/>
  <c r="AT26" i="4" a="1"/>
  <c r="AT26" i="4" s="1"/>
  <c r="AT7" i="4" a="1"/>
  <c r="AT7" i="4" s="1"/>
  <c r="AT15" i="4" a="1"/>
  <c r="AT15" i="4" s="1"/>
  <c r="AT21" i="4" a="1"/>
  <c r="AT21" i="4" s="1"/>
  <c r="AT23" i="4" a="1"/>
  <c r="AT23" i="4" s="1"/>
  <c r="AT22" i="4" a="1"/>
  <c r="AT22" i="4" s="1"/>
  <c r="AT20" i="4" a="1"/>
  <c r="AT20" i="4" s="1"/>
  <c r="AR5" i="4" a="1"/>
  <c r="AR5" i="4" s="1"/>
  <c r="AR24" i="4" a="1"/>
  <c r="AR24" i="4" s="1"/>
  <c r="AR23" i="4" a="1"/>
  <c r="AR23" i="4" s="1"/>
  <c r="AR16" i="4" a="1"/>
  <c r="AR16" i="4" s="1"/>
  <c r="AR6" i="4" a="1"/>
  <c r="AR6" i="4" s="1"/>
  <c r="AR26" i="4" a="1"/>
  <c r="AR26" i="4" s="1"/>
  <c r="AB21" i="4"/>
  <c r="AR21" i="4" a="1"/>
  <c r="AR21" i="4" s="1"/>
  <c r="AB25" i="4"/>
  <c r="AR25" i="4" a="1"/>
  <c r="AR25" i="4" s="1"/>
  <c r="AR13" i="4" a="1"/>
  <c r="AR13" i="4" s="1"/>
  <c r="AR11" i="4" a="1"/>
  <c r="AR11" i="4" s="1"/>
  <c r="AR10" i="4" a="1"/>
  <c r="AR10" i="4" s="1"/>
  <c r="AR14" i="4" a="1"/>
  <c r="AR14" i="4" s="1"/>
  <c r="AR9" i="4" a="1"/>
  <c r="AR9" i="4" s="1"/>
  <c r="AR4" i="4" a="1"/>
  <c r="AR4" i="4" s="1"/>
  <c r="AB15" i="4"/>
  <c r="AR15" i="4" a="1"/>
  <c r="AR15" i="4" s="1"/>
  <c r="AR12" i="4" a="1"/>
  <c r="AR12" i="4" s="1"/>
  <c r="AR18" i="4" a="1"/>
  <c r="AR18" i="4" s="1"/>
  <c r="AR20" i="4" a="1"/>
  <c r="AR20" i="4" s="1"/>
  <c r="AR7" i="4" a="1"/>
  <c r="AR7" i="4" s="1"/>
  <c r="AB22" i="4"/>
  <c r="AR22" i="4" a="1"/>
  <c r="AR22" i="4" s="1"/>
  <c r="AR19" i="4" a="1"/>
  <c r="AR19" i="4" s="1"/>
  <c r="AB17" i="4"/>
  <c r="AR17" i="4" a="1"/>
  <c r="AR17" i="4" s="1"/>
  <c r="AR8" i="4" a="1"/>
  <c r="AR8" i="4" s="1"/>
  <c r="AB24" i="4"/>
  <c r="AB20" i="4"/>
  <c r="AB14" i="4"/>
  <c r="AB3" i="4"/>
  <c r="AB13" i="4"/>
  <c r="AK9" i="4"/>
  <c r="AB5" i="4"/>
  <c r="AB23" i="4"/>
  <c r="AB16" i="4"/>
  <c r="AB6" i="4"/>
  <c r="AB26" i="4"/>
  <c r="AB11" i="4"/>
  <c r="AB4" i="4"/>
  <c r="AB9" i="4"/>
  <c r="AB10" i="4"/>
  <c r="AB7" i="4"/>
  <c r="AB12" i="4"/>
  <c r="AB18" i="4"/>
  <c r="AB19" i="4"/>
  <c r="AK4" i="4"/>
  <c r="AK17" i="4"/>
  <c r="AK25" i="4"/>
  <c r="AK7" i="4"/>
  <c r="AK26" i="4"/>
  <c r="AK24" i="4"/>
  <c r="AK8" i="4"/>
  <c r="AK16" i="4"/>
  <c r="AK19" i="4"/>
  <c r="AK21" i="4"/>
  <c r="AK15" i="4"/>
  <c r="AK13" i="4"/>
  <c r="AK11" i="4"/>
  <c r="AA5" i="4"/>
  <c r="AK20" i="4"/>
  <c r="AK12" i="4"/>
  <c r="AK22" i="4"/>
  <c r="AK6" i="4"/>
  <c r="AK5" i="4"/>
  <c r="AK3" i="4"/>
  <c r="S9" i="15" l="1"/>
  <c r="Q12" i="15"/>
  <c r="S10" i="14"/>
  <c r="V12" i="12"/>
  <c r="S11" i="15"/>
  <c r="Q11" i="14"/>
  <c r="Q7" i="15"/>
  <c r="R12" i="14"/>
  <c r="R9" i="15"/>
  <c r="S8" i="14"/>
  <c r="S10" i="15"/>
  <c r="S11" i="14"/>
  <c r="R11" i="15"/>
  <c r="R10" i="14"/>
  <c r="R10" i="15"/>
  <c r="Q7" i="14"/>
  <c r="Q8" i="15"/>
  <c r="Q10" i="14"/>
  <c r="R8" i="14"/>
  <c r="Q10" i="15"/>
  <c r="Q9" i="15"/>
  <c r="R11" i="14"/>
  <c r="Q9" i="14"/>
  <c r="R11" i="12"/>
  <c r="S12" i="12"/>
  <c r="Q12" i="12"/>
  <c r="Q7" i="12"/>
  <c r="Q11" i="15"/>
  <c r="R8" i="15"/>
  <c r="S7" i="14"/>
  <c r="S12" i="14"/>
  <c r="R7" i="14"/>
  <c r="Q9" i="12"/>
  <c r="R7" i="12"/>
  <c r="S10" i="12"/>
  <c r="R8" i="12"/>
  <c r="R12" i="15"/>
  <c r="S8" i="15"/>
  <c r="S9" i="14"/>
  <c r="Q8" i="14"/>
  <c r="Q10" i="12"/>
  <c r="S7" i="12"/>
  <c r="S11" i="12"/>
  <c r="Q11" i="12"/>
  <c r="S9" i="12"/>
  <c r="R12" i="12"/>
  <c r="S8" i="12"/>
  <c r="S7" i="15"/>
  <c r="S12" i="15"/>
  <c r="S8" i="16"/>
  <c r="U11" i="15"/>
  <c r="S12" i="16"/>
  <c r="U8" i="15"/>
  <c r="V7" i="15"/>
  <c r="W12" i="15"/>
  <c r="V9" i="15"/>
  <c r="Q10" i="16"/>
  <c r="W11" i="15"/>
  <c r="V10" i="15"/>
  <c r="R10" i="16"/>
  <c r="W8" i="15"/>
  <c r="U12" i="15"/>
  <c r="Q11" i="16"/>
  <c r="Q7" i="16"/>
  <c r="U9" i="15"/>
  <c r="W7" i="15"/>
  <c r="W12" i="14"/>
  <c r="V11" i="14"/>
  <c r="V12" i="14"/>
  <c r="U11" i="14"/>
  <c r="W10" i="14"/>
  <c r="W7" i="14"/>
  <c r="U12" i="14"/>
  <c r="V10" i="14"/>
  <c r="V7" i="14"/>
  <c r="U10" i="14"/>
  <c r="W9" i="14"/>
  <c r="V9" i="14"/>
  <c r="U7" i="14"/>
  <c r="V8" i="14"/>
  <c r="U9" i="14"/>
  <c r="W8" i="14"/>
  <c r="W11" i="14"/>
  <c r="U8" i="14"/>
  <c r="W9" i="12"/>
  <c r="S10" i="16"/>
  <c r="R8" i="16"/>
  <c r="U7" i="15"/>
  <c r="W10" i="15"/>
  <c r="R12" i="16"/>
  <c r="W9" i="15"/>
  <c r="V12" i="15"/>
  <c r="R10" i="12"/>
  <c r="Q8" i="12"/>
  <c r="R11" i="16"/>
  <c r="V8" i="15"/>
  <c r="U10" i="15"/>
  <c r="Q10" i="13"/>
  <c r="S7" i="16"/>
  <c r="Q9" i="16"/>
  <c r="S9" i="16"/>
  <c r="Q8" i="16"/>
  <c r="R7" i="16"/>
  <c r="Q12" i="16"/>
  <c r="S11" i="16"/>
  <c r="S11" i="13"/>
  <c r="U9" i="12"/>
  <c r="W7" i="12"/>
  <c r="R11" i="13"/>
  <c r="Q9" i="13"/>
  <c r="U7" i="12"/>
  <c r="W10" i="12"/>
  <c r="S7" i="13"/>
  <c r="S12" i="13"/>
  <c r="R7" i="13"/>
  <c r="V9" i="12"/>
  <c r="U11" i="12"/>
  <c r="S9" i="13"/>
  <c r="Q8" i="13"/>
  <c r="R9" i="13"/>
  <c r="Q12" i="13"/>
  <c r="V7" i="12"/>
  <c r="S10" i="13"/>
  <c r="V8" i="12"/>
  <c r="V10" i="12"/>
  <c r="Q11" i="13"/>
  <c r="R8" i="13"/>
  <c r="W12" i="16"/>
  <c r="V11" i="16"/>
  <c r="V12" i="16"/>
  <c r="U11" i="16"/>
  <c r="W10" i="16"/>
  <c r="W7" i="16"/>
  <c r="U12" i="16"/>
  <c r="V10" i="16"/>
  <c r="V7" i="16"/>
  <c r="U8" i="16"/>
  <c r="U10" i="16"/>
  <c r="W9" i="16"/>
  <c r="W11" i="16"/>
  <c r="V9" i="16"/>
  <c r="U7" i="16"/>
  <c r="V8" i="16"/>
  <c r="U9" i="16"/>
  <c r="W8" i="16"/>
  <c r="U8" i="12"/>
  <c r="U10" i="12"/>
  <c r="V11" i="12"/>
  <c r="R10" i="13"/>
  <c r="W11" i="12"/>
  <c r="W12" i="12"/>
  <c r="Q7" i="13"/>
  <c r="W8" i="12"/>
  <c r="R12" i="13"/>
  <c r="W12" i="13"/>
  <c r="V11" i="13"/>
  <c r="V12" i="13"/>
  <c r="U11" i="13"/>
  <c r="W10" i="13"/>
  <c r="W7" i="13"/>
  <c r="U12" i="13"/>
  <c r="V10" i="13"/>
  <c r="V7" i="13"/>
  <c r="U10" i="13"/>
  <c r="W9" i="13"/>
  <c r="V9" i="13"/>
  <c r="U7" i="13"/>
  <c r="U9" i="13"/>
  <c r="W8" i="13"/>
  <c r="V8" i="13"/>
  <c r="W11" i="13"/>
  <c r="U8" i="13"/>
  <c r="BN11" i="7"/>
  <c r="BL7" i="7"/>
  <c r="BL12" i="7"/>
  <c r="BN9" i="7"/>
  <c r="BM12" i="7"/>
  <c r="BN10" i="7"/>
  <c r="BN12" i="7"/>
  <c r="BL11" i="7"/>
  <c r="BN8" i="7"/>
  <c r="BL8" i="7"/>
  <c r="BL10" i="7"/>
  <c r="BN7" i="7"/>
  <c r="BL9" i="7"/>
  <c r="BM8" i="7"/>
  <c r="BM10" i="7"/>
  <c r="BM7" i="7"/>
  <c r="BM11" i="7"/>
  <c r="BH9" i="7"/>
  <c r="BI8" i="7"/>
  <c r="BH12" i="7"/>
  <c r="BI12" i="7"/>
  <c r="BI11" i="7"/>
  <c r="BH11" i="7"/>
  <c r="BJ7" i="7"/>
  <c r="BI7" i="7"/>
  <c r="BH10" i="7"/>
  <c r="BI10" i="7"/>
  <c r="BJ10" i="7"/>
  <c r="BH8" i="7"/>
  <c r="BJ11" i="7"/>
  <c r="BJ12" i="7"/>
  <c r="BJ8" i="7"/>
  <c r="BI9" i="7"/>
  <c r="BJ9" i="7"/>
  <c r="AU3" i="4" a="1"/>
  <c r="AU3" i="4" s="1"/>
  <c r="BK9" i="7"/>
  <c r="BK8" i="7"/>
  <c r="BK12" i="7"/>
  <c r="BK10" i="7"/>
  <c r="BK7" i="7"/>
  <c r="AN19" i="4" a="1"/>
  <c r="AN19" i="4" s="1"/>
  <c r="AM19" i="4" s="1"/>
  <c r="AS4" i="4" a="1"/>
  <c r="AS4" i="4" s="1"/>
  <c r="AS26" i="4" a="1"/>
  <c r="AS26" i="4" s="1"/>
  <c r="AS13" i="4" a="1"/>
  <c r="AS13" i="4" s="1"/>
  <c r="AS7" i="4" a="1"/>
  <c r="AS7" i="4" s="1"/>
  <c r="AS3" i="4" a="1"/>
  <c r="AS3" i="4" s="1"/>
  <c r="AS8" i="4" a="1"/>
  <c r="AS8" i="4" s="1"/>
  <c r="AS5" i="4" a="1"/>
  <c r="AS5" i="4" s="1"/>
  <c r="AS11" i="4" a="1"/>
  <c r="AS11" i="4" s="1"/>
  <c r="AS20" i="4" a="1"/>
  <c r="AS20" i="4" s="1"/>
  <c r="AS16" i="4" a="1"/>
  <c r="AS16" i="4" s="1"/>
  <c r="AS15" i="4" a="1"/>
  <c r="AS15" i="4" s="1"/>
  <c r="AS17" i="4" a="1"/>
  <c r="AS17" i="4" s="1"/>
  <c r="AS10" i="4" a="1"/>
  <c r="AS10" i="4" s="1"/>
  <c r="AS9" i="4" a="1"/>
  <c r="AS9" i="4" s="1"/>
  <c r="AS18" i="4" a="1"/>
  <c r="AS18" i="4" s="1"/>
  <c r="AS6" i="4" a="1"/>
  <c r="AS6" i="4" s="1"/>
  <c r="AS12" i="4" a="1"/>
  <c r="AS12" i="4" s="1"/>
  <c r="AS24" i="4" a="1"/>
  <c r="AS24" i="4" s="1"/>
  <c r="AS14" i="4" a="1"/>
  <c r="AS14" i="4" s="1"/>
  <c r="AS21" i="4" a="1"/>
  <c r="AS21" i="4" s="1"/>
  <c r="AS19" i="4" a="1"/>
  <c r="AS19" i="4" s="1"/>
  <c r="AS22" i="4" a="1"/>
  <c r="AS22" i="4" s="1"/>
  <c r="AS23" i="4" a="1"/>
  <c r="AS23" i="4" s="1"/>
  <c r="AS25" i="4" a="1"/>
  <c r="AS25" i="4" s="1"/>
  <c r="AU24" i="4" a="1"/>
  <c r="AU24" i="4" s="1"/>
  <c r="AU14" i="4" a="1"/>
  <c r="AU14" i="4" s="1"/>
  <c r="AU11" i="4" a="1"/>
  <c r="AU11" i="4" s="1"/>
  <c r="AU26" i="4" a="1"/>
  <c r="AU26" i="4" s="1"/>
  <c r="AU13" i="4" a="1"/>
  <c r="AU13" i="4" s="1"/>
  <c r="AU7" i="4" a="1"/>
  <c r="AU7" i="4" s="1"/>
  <c r="AU5" i="4" a="1"/>
  <c r="AU5" i="4" s="1"/>
  <c r="AU15" i="4" a="1"/>
  <c r="AU15" i="4" s="1"/>
  <c r="AU25" i="4" a="1"/>
  <c r="AU25" i="4" s="1"/>
  <c r="AU9" i="4" a="1"/>
  <c r="AU9" i="4" s="1"/>
  <c r="AU6" i="4" a="1"/>
  <c r="AU6" i="4" s="1"/>
  <c r="AU17" i="4" a="1"/>
  <c r="AU17" i="4" s="1"/>
  <c r="AU23" i="4" a="1"/>
  <c r="AU23" i="4" s="1"/>
  <c r="AU22" i="4" a="1"/>
  <c r="AU22" i="4" s="1"/>
  <c r="AU4" i="4" a="1"/>
  <c r="AU4" i="4" s="1"/>
  <c r="AU18" i="4" a="1"/>
  <c r="AU18" i="4" s="1"/>
  <c r="AU21" i="4" a="1"/>
  <c r="AU21" i="4" s="1"/>
  <c r="AU19" i="4" a="1"/>
  <c r="AU19" i="4" s="1"/>
  <c r="AU12" i="4" a="1"/>
  <c r="AU12" i="4" s="1"/>
  <c r="AU16" i="4" a="1"/>
  <c r="AU16" i="4" s="1"/>
  <c r="AU20" i="4" a="1"/>
  <c r="AU20" i="4" s="1"/>
  <c r="AU8" i="4" a="1"/>
  <c r="AU8" i="4" s="1"/>
  <c r="AU10" i="4" a="1"/>
  <c r="AU10" i="4" s="1"/>
  <c r="AQ8" i="4" a="1"/>
  <c r="AQ8" i="4" s="1"/>
  <c r="AQ3" i="4" a="1"/>
  <c r="AQ3" i="4" s="1"/>
  <c r="AQ18" i="4" a="1"/>
  <c r="AQ18" i="4" s="1"/>
  <c r="AQ12" i="4" a="1"/>
  <c r="AQ12" i="4" s="1"/>
  <c r="AQ16" i="4" a="1"/>
  <c r="AQ16" i="4" s="1"/>
  <c r="AQ14" i="4" a="1"/>
  <c r="AQ14" i="4" s="1"/>
  <c r="AQ7" i="4" a="1"/>
  <c r="AQ7" i="4" s="1"/>
  <c r="AQ23" i="4" a="1"/>
  <c r="AQ23" i="4" s="1"/>
  <c r="AQ25" i="4" a="1"/>
  <c r="AQ25" i="4" s="1"/>
  <c r="AQ6" i="4" a="1"/>
  <c r="AQ6" i="4" s="1"/>
  <c r="AQ10" i="4" a="1"/>
  <c r="AQ10" i="4" s="1"/>
  <c r="AQ5" i="4" a="1"/>
  <c r="AQ5" i="4" s="1"/>
  <c r="AQ20" i="4" a="1"/>
  <c r="AQ20" i="4" s="1"/>
  <c r="AQ21" i="4" a="1"/>
  <c r="AQ21" i="4" s="1"/>
  <c r="AQ9" i="4" a="1"/>
  <c r="AQ9" i="4" s="1"/>
  <c r="AQ24" i="4" a="1"/>
  <c r="AQ24" i="4" s="1"/>
  <c r="AQ4" i="4" a="1"/>
  <c r="AQ4" i="4" s="1"/>
  <c r="AQ13" i="4" a="1"/>
  <c r="AQ13" i="4" s="1"/>
  <c r="AQ11" i="4" a="1"/>
  <c r="AQ11" i="4" s="1"/>
  <c r="AQ17" i="4" a="1"/>
  <c r="AQ17" i="4" s="1"/>
  <c r="AQ19" i="4" a="1"/>
  <c r="AQ19" i="4" s="1"/>
  <c r="AQ26" i="4" a="1"/>
  <c r="AQ26" i="4" s="1"/>
  <c r="AQ15" i="4" a="1"/>
  <c r="AQ15" i="4" s="1"/>
  <c r="AQ22" i="4" a="1"/>
  <c r="AQ22" i="4" s="1"/>
  <c r="AN3" i="4" a="1"/>
  <c r="AN3" i="4" s="1"/>
  <c r="AN9" i="4" a="1"/>
  <c r="AN9" i="4" s="1"/>
  <c r="AM9" i="4" s="1"/>
  <c r="AN24" i="4" a="1"/>
  <c r="AN24" i="4" s="1"/>
  <c r="AN22" i="4" a="1"/>
  <c r="AN22" i="4" s="1"/>
  <c r="AN7" i="4" a="1"/>
  <c r="AN7" i="4" s="1"/>
  <c r="AM7" i="4" s="1"/>
  <c r="AN21" i="4" a="1"/>
  <c r="AN21" i="4" s="1"/>
  <c r="AN12" i="4" a="1"/>
  <c r="AN12" i="4" s="1"/>
  <c r="AN10" i="4" a="1"/>
  <c r="AN10" i="4" s="1"/>
  <c r="AM10" i="4" s="1"/>
  <c r="AN20" i="4" a="1"/>
  <c r="AN20" i="4" s="1"/>
  <c r="AN18" i="4" a="1"/>
  <c r="AN18" i="4" s="1"/>
  <c r="AN8" i="4" a="1"/>
  <c r="AN8" i="4" s="1"/>
  <c r="AM8" i="4" s="1"/>
  <c r="AN6" i="4" a="1"/>
  <c r="AN6" i="4" s="1"/>
  <c r="AM6" i="4" s="1"/>
  <c r="AN13" i="4" a="1"/>
  <c r="AN13" i="4" s="1"/>
  <c r="AN23" i="4" a="1"/>
  <c r="AN23" i="4" s="1"/>
  <c r="AN17" i="4" a="1"/>
  <c r="AN17" i="4" s="1"/>
  <c r="AN25" i="4" a="1"/>
  <c r="AN25" i="4" s="1"/>
  <c r="AN15" i="4" a="1"/>
  <c r="AN15" i="4" s="1"/>
  <c r="AN11" i="4" a="1"/>
  <c r="AN11" i="4" s="1"/>
  <c r="AN14" i="4" a="1"/>
  <c r="AN14" i="4" s="1"/>
  <c r="AN5" i="4" a="1"/>
  <c r="AN5" i="4" s="1"/>
  <c r="AM5" i="4" s="1"/>
  <c r="AN26" i="4" a="1"/>
  <c r="AN26" i="4" s="1"/>
  <c r="AN16" i="4" a="1"/>
  <c r="AN16" i="4" s="1"/>
  <c r="AN4" i="4" a="1"/>
  <c r="AN4" i="4" s="1"/>
  <c r="AM4" i="4" s="1"/>
  <c r="AM25" i="4" l="1"/>
  <c r="AM17" i="4"/>
  <c r="AM16" i="4"/>
  <c r="AM21" i="4"/>
  <c r="AM13" i="4"/>
  <c r="AM22" i="4"/>
  <c r="AM14" i="4"/>
  <c r="AM24" i="4"/>
  <c r="AM18" i="4"/>
  <c r="AM20" i="4"/>
  <c r="AM26" i="4"/>
  <c r="AM12" i="4"/>
  <c r="D21" i="5"/>
  <c r="AM11" i="4"/>
  <c r="D11" i="5"/>
  <c r="D12" i="5"/>
  <c r="D14" i="5"/>
  <c r="L14" i="5" s="1"/>
  <c r="D13" i="5"/>
  <c r="D3" i="5"/>
  <c r="D4" i="5"/>
  <c r="AM15" i="4"/>
  <c r="D16" i="5"/>
  <c r="D17" i="5"/>
  <c r="D18" i="5"/>
  <c r="L18" i="5" s="1"/>
  <c r="D15" i="5"/>
  <c r="D22" i="5"/>
  <c r="L22" i="5" s="1"/>
  <c r="AM23" i="4"/>
  <c r="D23" i="5"/>
  <c r="D24" i="5"/>
  <c r="D25" i="5"/>
  <c r="D26" i="5"/>
  <c r="L26" i="5" s="1"/>
  <c r="D20" i="5"/>
  <c r="D19" i="5"/>
  <c r="D10" i="5"/>
  <c r="L10" i="5" s="1"/>
  <c r="D9" i="5"/>
  <c r="D8" i="5"/>
  <c r="D7" i="5"/>
  <c r="D6" i="5"/>
  <c r="L6" i="5" s="1"/>
  <c r="D5" i="5"/>
  <c r="AM3" i="4"/>
  <c r="M17" i="5" l="1"/>
  <c r="G3" i="5"/>
  <c r="G17" i="5"/>
  <c r="M20" i="5"/>
  <c r="M18" i="5"/>
  <c r="M6" i="5"/>
  <c r="M25" i="5"/>
  <c r="E21" i="5"/>
  <c r="M21" i="5"/>
  <c r="M9" i="5"/>
  <c r="M5" i="5"/>
  <c r="M10" i="5"/>
  <c r="M22" i="5"/>
  <c r="M13" i="5"/>
  <c r="M26" i="5"/>
  <c r="M14" i="5"/>
  <c r="P21" i="5"/>
  <c r="F21" i="5"/>
  <c r="O21" i="5"/>
  <c r="F24" i="5"/>
  <c r="E24" i="5"/>
  <c r="F23" i="5"/>
  <c r="E23" i="5"/>
  <c r="O23" i="5"/>
  <c r="P23" i="5"/>
  <c r="F3" i="5"/>
  <c r="E3" i="5"/>
  <c r="E4" i="5"/>
  <c r="F4" i="5"/>
  <c r="O22" i="5"/>
  <c r="P22" i="5"/>
  <c r="F22" i="5"/>
  <c r="N22" i="5"/>
  <c r="E22" i="5"/>
  <c r="F13" i="5"/>
  <c r="E13" i="5"/>
  <c r="P13" i="5"/>
  <c r="O13" i="5"/>
  <c r="E15" i="5"/>
  <c r="F15" i="5"/>
  <c r="O15" i="5"/>
  <c r="P15" i="5"/>
  <c r="O14" i="5"/>
  <c r="P14" i="5"/>
  <c r="N14" i="5"/>
  <c r="F14" i="5"/>
  <c r="E14" i="5"/>
  <c r="E19" i="5"/>
  <c r="F19" i="5"/>
  <c r="P19" i="5"/>
  <c r="O19" i="5"/>
  <c r="O20" i="5"/>
  <c r="P20" i="5"/>
  <c r="F20" i="5"/>
  <c r="E20" i="5"/>
  <c r="P18" i="5"/>
  <c r="F18" i="5"/>
  <c r="E18" i="5"/>
  <c r="O18" i="5"/>
  <c r="N18" i="5"/>
  <c r="F12" i="5"/>
  <c r="E12" i="5"/>
  <c r="P26" i="5"/>
  <c r="F26" i="5"/>
  <c r="N26" i="5"/>
  <c r="O26" i="5"/>
  <c r="E26" i="5"/>
  <c r="P17" i="5"/>
  <c r="E17" i="5"/>
  <c r="O17" i="5"/>
  <c r="F17" i="5"/>
  <c r="E11" i="5"/>
  <c r="F11" i="5"/>
  <c r="O11" i="5"/>
  <c r="P11" i="5"/>
  <c r="P25" i="5"/>
  <c r="E25" i="5"/>
  <c r="O25" i="5"/>
  <c r="F25" i="5"/>
  <c r="F16" i="5"/>
  <c r="E16" i="5"/>
  <c r="E6" i="5"/>
  <c r="F6" i="5"/>
  <c r="E5" i="5"/>
  <c r="F5" i="5"/>
  <c r="F7" i="5"/>
  <c r="E7" i="5"/>
  <c r="E8" i="5"/>
  <c r="F8" i="5"/>
  <c r="E9" i="5"/>
  <c r="F9" i="5"/>
  <c r="J26" i="5"/>
  <c r="H24" i="5"/>
  <c r="I21" i="5"/>
  <c r="G19" i="5"/>
  <c r="J18" i="5"/>
  <c r="H16" i="5"/>
  <c r="J13" i="5"/>
  <c r="G11" i="5"/>
  <c r="H11" i="5"/>
  <c r="J11" i="5"/>
  <c r="H26" i="5"/>
  <c r="I15" i="5"/>
  <c r="J15" i="5"/>
  <c r="I24" i="5"/>
  <c r="G22" i="5"/>
  <c r="J21" i="5"/>
  <c r="H19" i="5"/>
  <c r="I16" i="5"/>
  <c r="J14" i="5"/>
  <c r="J20" i="5"/>
  <c r="J12" i="5"/>
  <c r="G16" i="5"/>
  <c r="G25" i="5"/>
  <c r="J24" i="5"/>
  <c r="H22" i="5"/>
  <c r="I19" i="5"/>
  <c r="J16" i="5"/>
  <c r="G13" i="5"/>
  <c r="I11" i="5"/>
  <c r="H18" i="5"/>
  <c r="I18" i="5"/>
  <c r="H25" i="5"/>
  <c r="I22" i="5"/>
  <c r="G20" i="5"/>
  <c r="J19" i="5"/>
  <c r="H17" i="5"/>
  <c r="G14" i="5"/>
  <c r="G12" i="5"/>
  <c r="I23" i="5"/>
  <c r="I13" i="5"/>
  <c r="I14" i="5"/>
  <c r="I25" i="5"/>
  <c r="G23" i="5"/>
  <c r="J22" i="5"/>
  <c r="H20" i="5"/>
  <c r="I17" i="5"/>
  <c r="G15" i="5"/>
  <c r="H13" i="5"/>
  <c r="H12" i="5"/>
  <c r="H14" i="5"/>
  <c r="G26" i="5"/>
  <c r="J25" i="5"/>
  <c r="H23" i="5"/>
  <c r="I20" i="5"/>
  <c r="G18" i="5"/>
  <c r="J17" i="5"/>
  <c r="H15" i="5"/>
  <c r="I12" i="5"/>
  <c r="G21" i="5"/>
  <c r="I26" i="5"/>
  <c r="G24" i="5"/>
  <c r="J23" i="5"/>
  <c r="H21" i="5"/>
  <c r="E10" i="5"/>
  <c r="F10" i="5"/>
  <c r="P6" i="5"/>
  <c r="P5" i="5"/>
  <c r="P9" i="5"/>
  <c r="N10" i="5"/>
  <c r="P10" i="5"/>
  <c r="O10" i="5"/>
  <c r="O9" i="5"/>
  <c r="N6" i="5"/>
  <c r="O6" i="5"/>
  <c r="O5" i="5"/>
  <c r="P3" i="5"/>
  <c r="O3" i="5"/>
  <c r="J10" i="5"/>
  <c r="I10" i="5"/>
  <c r="H10" i="5"/>
  <c r="G10" i="5"/>
  <c r="G8" i="5"/>
  <c r="J3" i="5"/>
  <c r="I3" i="5"/>
  <c r="H3" i="5"/>
  <c r="J7" i="5"/>
  <c r="H7" i="5"/>
  <c r="J4" i="5"/>
  <c r="I4" i="5"/>
  <c r="H4" i="5"/>
  <c r="G4" i="5"/>
  <c r="I7" i="5"/>
  <c r="J5" i="5"/>
  <c r="I5" i="5"/>
  <c r="H5" i="5"/>
  <c r="G5" i="5"/>
  <c r="H8" i="5"/>
  <c r="J6" i="5"/>
  <c r="I6" i="5"/>
  <c r="H6" i="5"/>
  <c r="G6" i="5"/>
  <c r="G7" i="5"/>
  <c r="J8" i="5"/>
  <c r="J9" i="5"/>
  <c r="I9" i="5"/>
  <c r="H9" i="5"/>
  <c r="G9" i="5"/>
  <c r="I8" i="5"/>
  <c r="K15" i="5" l="1"/>
  <c r="L15" i="5" s="1"/>
  <c r="M15" i="5" s="1"/>
  <c r="K5" i="5"/>
  <c r="L5" i="5" s="1"/>
  <c r="N5" i="5" s="1"/>
  <c r="K21" i="5"/>
  <c r="L21" i="5" s="1"/>
  <c r="N21" i="5" s="1"/>
  <c r="K26" i="5"/>
  <c r="U26" i="5" s="1"/>
  <c r="K9" i="5"/>
  <c r="L9" i="5" s="1"/>
  <c r="N9" i="5" s="1"/>
  <c r="K4" i="5"/>
  <c r="K14" i="5"/>
  <c r="S14" i="5" s="1"/>
  <c r="K17" i="5"/>
  <c r="L17" i="5" s="1"/>
  <c r="K20" i="5"/>
  <c r="L20" i="5" s="1"/>
  <c r="N20" i="5" s="1"/>
  <c r="K24" i="5"/>
  <c r="L24" i="5" s="1"/>
  <c r="M24" i="5" s="1"/>
  <c r="O24" i="5" s="1"/>
  <c r="K25" i="5"/>
  <c r="L25" i="5" s="1"/>
  <c r="K11" i="5"/>
  <c r="K23" i="5"/>
  <c r="K22" i="5"/>
  <c r="U22" i="5" s="1"/>
  <c r="K19" i="5"/>
  <c r="K13" i="5"/>
  <c r="K18" i="5"/>
  <c r="U18" i="5" s="1"/>
  <c r="K16" i="5"/>
  <c r="L16" i="5" s="1"/>
  <c r="K12" i="5"/>
  <c r="D54" i="6"/>
  <c r="D48" i="6"/>
  <c r="D53" i="6"/>
  <c r="D50" i="6"/>
  <c r="D55" i="6"/>
  <c r="D49" i="6"/>
  <c r="D26" i="6"/>
  <c r="D33" i="6"/>
  <c r="D27" i="6"/>
  <c r="D32" i="6"/>
  <c r="D31" i="6"/>
  <c r="D28" i="6"/>
  <c r="D39" i="6"/>
  <c r="E39" i="6" s="1"/>
  <c r="D38" i="6"/>
  <c r="D37" i="6"/>
  <c r="D44" i="6"/>
  <c r="E44" i="6" s="1"/>
  <c r="D43" i="6"/>
  <c r="D42" i="6"/>
  <c r="D60" i="6"/>
  <c r="D66" i="6"/>
  <c r="E66" i="6" s="1"/>
  <c r="D65" i="6"/>
  <c r="D61" i="6"/>
  <c r="E61" i="6" s="1"/>
  <c r="D64" i="6"/>
  <c r="D59" i="6"/>
  <c r="AD26" i="5"/>
  <c r="AL26" i="5"/>
  <c r="AC26" i="5"/>
  <c r="AK26" i="5"/>
  <c r="AB26" i="5"/>
  <c r="AN26" i="5"/>
  <c r="AE26" i="5"/>
  <c r="AO26" i="5"/>
  <c r="AA26" i="5"/>
  <c r="AM26" i="5"/>
  <c r="AP26" i="5"/>
  <c r="D9" i="6"/>
  <c r="D10" i="6"/>
  <c r="D11" i="6"/>
  <c r="AM22" i="5"/>
  <c r="AA22" i="5"/>
  <c r="AL22" i="5"/>
  <c r="AO22" i="5"/>
  <c r="AF22" i="5"/>
  <c r="AE22" i="5"/>
  <c r="AN22" i="5"/>
  <c r="AB22" i="5"/>
  <c r="AC22" i="5"/>
  <c r="AK22" i="5"/>
  <c r="AD22" i="5"/>
  <c r="AP22" i="5"/>
  <c r="AL14" i="5"/>
  <c r="AB14" i="5"/>
  <c r="AK14" i="5"/>
  <c r="AD14" i="5"/>
  <c r="AF14" i="5"/>
  <c r="AP14" i="5"/>
  <c r="AC14" i="5"/>
  <c r="AO14" i="5"/>
  <c r="AE14" i="5"/>
  <c r="AA14" i="5"/>
  <c r="AN14" i="5"/>
  <c r="AM14" i="5"/>
  <c r="AM18" i="5"/>
  <c r="AL18" i="5"/>
  <c r="AA18" i="5"/>
  <c r="AO18" i="5"/>
  <c r="AF18" i="5"/>
  <c r="AD18" i="5"/>
  <c r="AE18" i="5"/>
  <c r="AC18" i="5"/>
  <c r="AP18" i="5"/>
  <c r="AN18" i="5"/>
  <c r="AB18" i="5"/>
  <c r="AK18" i="5"/>
  <c r="AF26" i="5"/>
  <c r="D22" i="6"/>
  <c r="D21" i="6"/>
  <c r="D20" i="6"/>
  <c r="D17" i="6"/>
  <c r="D16" i="6"/>
  <c r="D15" i="6"/>
  <c r="D4" i="6"/>
  <c r="D5" i="6"/>
  <c r="D6" i="6"/>
  <c r="AP6" i="5"/>
  <c r="AO6" i="5"/>
  <c r="AN6" i="5"/>
  <c r="AM6" i="5"/>
  <c r="AF6" i="5"/>
  <c r="AE6" i="5"/>
  <c r="AD6" i="5"/>
  <c r="AC6" i="5"/>
  <c r="AB6" i="5"/>
  <c r="AL6" i="5"/>
  <c r="AA6" i="5"/>
  <c r="AK6" i="5"/>
  <c r="AP10" i="5"/>
  <c r="AO10" i="5"/>
  <c r="AM10" i="5"/>
  <c r="AE10" i="5"/>
  <c r="AB10" i="5"/>
  <c r="AK10" i="5"/>
  <c r="AC10" i="5"/>
  <c r="AN10" i="5"/>
  <c r="AF10" i="5"/>
  <c r="AD10" i="5"/>
  <c r="AL10" i="5"/>
  <c r="AA10" i="5"/>
  <c r="K10" i="5"/>
  <c r="Q10" i="5" s="1"/>
  <c r="K8" i="5"/>
  <c r="K7" i="5"/>
  <c r="L7" i="5" s="1"/>
  <c r="K6" i="5"/>
  <c r="Q6" i="5" s="1"/>
  <c r="K3" i="5"/>
  <c r="F4" i="6" l="1"/>
  <c r="T26" i="5"/>
  <c r="S26" i="5"/>
  <c r="X26" i="5" s="1"/>
  <c r="V26" i="5"/>
  <c r="R26" i="5"/>
  <c r="N15" i="5"/>
  <c r="AF15" i="5" s="1"/>
  <c r="L3" i="5"/>
  <c r="M3" i="5" s="1"/>
  <c r="Q26" i="5"/>
  <c r="AM5" i="5"/>
  <c r="AK5" i="5"/>
  <c r="AF5" i="5"/>
  <c r="U5" i="5"/>
  <c r="AE5" i="5"/>
  <c r="V5" i="5"/>
  <c r="AA5" i="5"/>
  <c r="AD5" i="5"/>
  <c r="T5" i="5"/>
  <c r="Q5" i="5"/>
  <c r="AN5" i="5"/>
  <c r="AC5" i="5"/>
  <c r="S5" i="5"/>
  <c r="AP5" i="5"/>
  <c r="AB5" i="5"/>
  <c r="R5" i="5"/>
  <c r="AO5" i="5"/>
  <c r="AL5" i="5"/>
  <c r="AQ5" i="5" s="1"/>
  <c r="N25" i="5"/>
  <c r="AL25" i="5" s="1"/>
  <c r="L12" i="5"/>
  <c r="L13" i="5"/>
  <c r="N13" i="5" s="1"/>
  <c r="L8" i="5"/>
  <c r="F21" i="6" s="1"/>
  <c r="G21" i="6" s="1"/>
  <c r="L11" i="5"/>
  <c r="L19" i="5"/>
  <c r="M19" i="5" s="1"/>
  <c r="L4" i="5"/>
  <c r="N4" i="5" s="1"/>
  <c r="L23" i="5"/>
  <c r="M23" i="5" s="1"/>
  <c r="T14" i="5"/>
  <c r="Q14" i="5"/>
  <c r="V14" i="5"/>
  <c r="R14" i="5"/>
  <c r="U14" i="5"/>
  <c r="X14" i="5" s="1"/>
  <c r="N24" i="5"/>
  <c r="M16" i="5"/>
  <c r="P16" i="5" s="1"/>
  <c r="Q22" i="5"/>
  <c r="Q21" i="5"/>
  <c r="S21" i="5"/>
  <c r="AN21" i="5"/>
  <c r="M7" i="5"/>
  <c r="P7" i="5" s="1"/>
  <c r="N17" i="5"/>
  <c r="AL21" i="5"/>
  <c r="U21" i="5"/>
  <c r="T20" i="5"/>
  <c r="AE21" i="5"/>
  <c r="AB21" i="5"/>
  <c r="R21" i="5"/>
  <c r="AO21" i="5"/>
  <c r="T21" i="5"/>
  <c r="AP21" i="5"/>
  <c r="AD21" i="5"/>
  <c r="AM21" i="5"/>
  <c r="AK21" i="5"/>
  <c r="AA21" i="5"/>
  <c r="AL20" i="5"/>
  <c r="AC20" i="5"/>
  <c r="V21" i="5"/>
  <c r="AF21" i="5"/>
  <c r="AC21" i="5"/>
  <c r="S22" i="5"/>
  <c r="X22" i="5" s="1"/>
  <c r="V22" i="5"/>
  <c r="T22" i="5"/>
  <c r="R22" i="5"/>
  <c r="R18" i="5"/>
  <c r="R20" i="5"/>
  <c r="AN20" i="5"/>
  <c r="AP20" i="5"/>
  <c r="AA20" i="5"/>
  <c r="P24" i="5"/>
  <c r="AK20" i="5"/>
  <c r="AF20" i="5"/>
  <c r="AB20" i="5"/>
  <c r="AO20" i="5"/>
  <c r="AD20" i="5"/>
  <c r="U20" i="5"/>
  <c r="S20" i="5"/>
  <c r="AE20" i="5"/>
  <c r="Q20" i="5"/>
  <c r="AM20" i="5"/>
  <c r="V20" i="5"/>
  <c r="V18" i="5"/>
  <c r="T18" i="5"/>
  <c r="Q18" i="5"/>
  <c r="S18" i="5"/>
  <c r="X18" i="5" s="1"/>
  <c r="N16" i="5"/>
  <c r="F61" i="6"/>
  <c r="G61" i="6" s="1"/>
  <c r="E38" i="6"/>
  <c r="E26" i="6"/>
  <c r="F26" i="6"/>
  <c r="G26" i="6" s="1"/>
  <c r="E65" i="6"/>
  <c r="F65" i="6"/>
  <c r="G65" i="6" s="1"/>
  <c r="F39" i="6"/>
  <c r="F66" i="6"/>
  <c r="G66" i="6" s="1"/>
  <c r="E49" i="6"/>
  <c r="E60" i="6"/>
  <c r="E28" i="6"/>
  <c r="E55" i="6"/>
  <c r="F42" i="6"/>
  <c r="G42" i="6" s="1"/>
  <c r="E42" i="6"/>
  <c r="F31" i="6"/>
  <c r="G31" i="6" s="1"/>
  <c r="E31" i="6"/>
  <c r="E50" i="6"/>
  <c r="E43" i="6"/>
  <c r="E32" i="6"/>
  <c r="F53" i="6"/>
  <c r="G53" i="6" s="1"/>
  <c r="E53" i="6"/>
  <c r="F59" i="6"/>
  <c r="E59" i="6"/>
  <c r="F44" i="6"/>
  <c r="E27" i="6"/>
  <c r="F27" i="6"/>
  <c r="G27" i="6" s="1"/>
  <c r="E48" i="6"/>
  <c r="F48" i="6"/>
  <c r="G48" i="6" s="1"/>
  <c r="E64" i="6"/>
  <c r="F64" i="6"/>
  <c r="G64" i="6" s="1"/>
  <c r="F37" i="6"/>
  <c r="G37" i="6" s="1"/>
  <c r="E37" i="6"/>
  <c r="E33" i="6"/>
  <c r="E54" i="6"/>
  <c r="AI22" i="5"/>
  <c r="AH22" i="5"/>
  <c r="AR14" i="5"/>
  <c r="AS18" i="5"/>
  <c r="AI14" i="5"/>
  <c r="AR22" i="5"/>
  <c r="AG14" i="5"/>
  <c r="AQ22" i="5"/>
  <c r="AQ26" i="5"/>
  <c r="AS14" i="5"/>
  <c r="AG26" i="5"/>
  <c r="AI18" i="5"/>
  <c r="AH14" i="5"/>
  <c r="E20" i="6"/>
  <c r="F20" i="6"/>
  <c r="E10" i="6"/>
  <c r="E17" i="6"/>
  <c r="AG22" i="5"/>
  <c r="E11" i="6"/>
  <c r="E21" i="6"/>
  <c r="AS22" i="5"/>
  <c r="F9" i="6"/>
  <c r="E9" i="6"/>
  <c r="AI26" i="5"/>
  <c r="E22" i="6"/>
  <c r="AH18" i="5"/>
  <c r="AG18" i="5"/>
  <c r="AQ14" i="5"/>
  <c r="AS26" i="5"/>
  <c r="AR26" i="5"/>
  <c r="F15" i="6"/>
  <c r="G15" i="6" s="1"/>
  <c r="E15" i="6"/>
  <c r="AQ18" i="5"/>
  <c r="AH26" i="5"/>
  <c r="E16" i="6"/>
  <c r="AR18" i="5"/>
  <c r="G4" i="6"/>
  <c r="E6" i="6"/>
  <c r="E5" i="6"/>
  <c r="E4" i="6"/>
  <c r="AQ6" i="5"/>
  <c r="AR6" i="5"/>
  <c r="AG10" i="5"/>
  <c r="AR10" i="5"/>
  <c r="AH6" i="5"/>
  <c r="AI10" i="5"/>
  <c r="AS10" i="5"/>
  <c r="AH10" i="5"/>
  <c r="AG6" i="5"/>
  <c r="AS6" i="5"/>
  <c r="AK9" i="5"/>
  <c r="AA9" i="5"/>
  <c r="AP9" i="5"/>
  <c r="AO9" i="5"/>
  <c r="AN9" i="5"/>
  <c r="AM9" i="5"/>
  <c r="AF9" i="5"/>
  <c r="AE9" i="5"/>
  <c r="AD9" i="5"/>
  <c r="AC9" i="5"/>
  <c r="AB9" i="5"/>
  <c r="AL9" i="5"/>
  <c r="AQ10" i="5"/>
  <c r="AI6" i="5"/>
  <c r="T10" i="5"/>
  <c r="U10" i="5"/>
  <c r="V10" i="5"/>
  <c r="V6" i="5"/>
  <c r="S10" i="5"/>
  <c r="T6" i="5"/>
  <c r="S6" i="5"/>
  <c r="V9" i="5"/>
  <c r="S9" i="5"/>
  <c r="U9" i="5"/>
  <c r="T9" i="5"/>
  <c r="U6" i="5"/>
  <c r="R10" i="5"/>
  <c r="W10" i="5" s="1"/>
  <c r="R9" i="5"/>
  <c r="Q9" i="5"/>
  <c r="R6" i="5"/>
  <c r="W6" i="5" s="1"/>
  <c r="N7" i="5"/>
  <c r="F54" i="6" l="1"/>
  <c r="G54" i="6" s="1"/>
  <c r="F55" i="6"/>
  <c r="J55" i="6"/>
  <c r="H55" i="6"/>
  <c r="I55" i="6"/>
  <c r="I33" i="6"/>
  <c r="J33" i="6"/>
  <c r="H33" i="6"/>
  <c r="F50" i="6"/>
  <c r="J50" i="6"/>
  <c r="H50" i="6"/>
  <c r="I50" i="6"/>
  <c r="I28" i="6"/>
  <c r="J28" i="6"/>
  <c r="H28" i="6"/>
  <c r="F16" i="6"/>
  <c r="G16" i="6" s="1"/>
  <c r="Y26" i="5"/>
  <c r="Z26" i="5" s="1"/>
  <c r="F49" i="6"/>
  <c r="G49" i="6" s="1"/>
  <c r="N19" i="5"/>
  <c r="R19" i="5" s="1"/>
  <c r="N12" i="5"/>
  <c r="M12" i="5"/>
  <c r="O12" i="5" s="1"/>
  <c r="F33" i="6"/>
  <c r="G33" i="6" s="1"/>
  <c r="N3" i="5"/>
  <c r="AE3" i="5" s="1"/>
  <c r="AM15" i="5"/>
  <c r="AA15" i="5"/>
  <c r="AN15" i="5"/>
  <c r="AD15" i="5"/>
  <c r="AI15" i="5" s="1"/>
  <c r="AK15" i="5"/>
  <c r="AL15" i="5"/>
  <c r="AO15" i="5"/>
  <c r="AB15" i="5"/>
  <c r="AP15" i="5"/>
  <c r="AE15" i="5"/>
  <c r="W26" i="5"/>
  <c r="AC15" i="5"/>
  <c r="V15" i="5"/>
  <c r="U15" i="5"/>
  <c r="S15" i="5"/>
  <c r="T15" i="5"/>
  <c r="Q15" i="5"/>
  <c r="R15" i="5"/>
  <c r="AR5" i="5"/>
  <c r="AO25" i="5"/>
  <c r="M4" i="5"/>
  <c r="O4" i="5" s="1"/>
  <c r="F6" i="6"/>
  <c r="G6" i="6" s="1"/>
  <c r="AI5" i="5"/>
  <c r="AS5" i="5"/>
  <c r="T25" i="5"/>
  <c r="AF25" i="5"/>
  <c r="AP25" i="5"/>
  <c r="V25" i="5"/>
  <c r="Q25" i="5"/>
  <c r="AD25" i="5"/>
  <c r="R25" i="5"/>
  <c r="AC25" i="5"/>
  <c r="AH5" i="5"/>
  <c r="AE25" i="5"/>
  <c r="AB25" i="5"/>
  <c r="AN25" i="5"/>
  <c r="U25" i="5"/>
  <c r="AA25" i="5"/>
  <c r="S25" i="5"/>
  <c r="AK25" i="5"/>
  <c r="AQ25" i="5" s="1"/>
  <c r="AM25" i="5"/>
  <c r="X5" i="5"/>
  <c r="Y5" i="5"/>
  <c r="W5" i="5"/>
  <c r="AG5" i="5"/>
  <c r="F32" i="6"/>
  <c r="G32" i="6" s="1"/>
  <c r="F60" i="6"/>
  <c r="G60" i="6" s="1"/>
  <c r="N23" i="5"/>
  <c r="AC23" i="5" s="1"/>
  <c r="F5" i="6"/>
  <c r="G5" i="6" s="1"/>
  <c r="F10" i="6"/>
  <c r="G10" i="6" s="1"/>
  <c r="AA13" i="5"/>
  <c r="AC13" i="5"/>
  <c r="AD13" i="5"/>
  <c r="AE13" i="5"/>
  <c r="AO13" i="5"/>
  <c r="R13" i="5"/>
  <c r="AF13" i="5"/>
  <c r="T13" i="5"/>
  <c r="AK13" i="5"/>
  <c r="AM13" i="5"/>
  <c r="AN13" i="5"/>
  <c r="S13" i="5"/>
  <c r="AL13" i="5"/>
  <c r="Q13" i="5"/>
  <c r="AB13" i="5"/>
  <c r="V13" i="5"/>
  <c r="AP13" i="5"/>
  <c r="U13" i="5"/>
  <c r="M11" i="5"/>
  <c r="N11" i="5"/>
  <c r="W14" i="5"/>
  <c r="Y14" i="5"/>
  <c r="Z14" i="5" s="1"/>
  <c r="M8" i="5"/>
  <c r="O8" i="5" s="1"/>
  <c r="N8" i="5"/>
  <c r="V24" i="5"/>
  <c r="P4" i="5"/>
  <c r="W22" i="5"/>
  <c r="X21" i="5"/>
  <c r="O16" i="5"/>
  <c r="Q16" i="5" s="1"/>
  <c r="O7" i="5"/>
  <c r="AM7" i="5" s="1"/>
  <c r="AQ20" i="5"/>
  <c r="Y6" i="5"/>
  <c r="AR21" i="5"/>
  <c r="AI21" i="5"/>
  <c r="Y20" i="5"/>
  <c r="W21" i="5"/>
  <c r="F43" i="6"/>
  <c r="G43" i="6" s="1"/>
  <c r="F38" i="6"/>
  <c r="G38" i="6" s="1"/>
  <c r="AH21" i="5"/>
  <c r="Y21" i="5"/>
  <c r="AQ21" i="5"/>
  <c r="AS21" i="5"/>
  <c r="Q17" i="5"/>
  <c r="T17" i="5"/>
  <c r="V17" i="5"/>
  <c r="AP17" i="5"/>
  <c r="AF17" i="5"/>
  <c r="AN17" i="5"/>
  <c r="AK17" i="5"/>
  <c r="AE17" i="5"/>
  <c r="AM17" i="5"/>
  <c r="U17" i="5"/>
  <c r="AL17" i="5"/>
  <c r="S17" i="5"/>
  <c r="AB17" i="5"/>
  <c r="AD17" i="5"/>
  <c r="R17" i="5"/>
  <c r="AO17" i="5"/>
  <c r="AA17" i="5"/>
  <c r="AC17" i="5"/>
  <c r="AH20" i="5"/>
  <c r="AG21" i="5"/>
  <c r="U19" i="5"/>
  <c r="AC19" i="5"/>
  <c r="S19" i="5"/>
  <c r="AP19" i="5"/>
  <c r="Y22" i="5"/>
  <c r="Z22" i="5" s="1"/>
  <c r="AI20" i="5"/>
  <c r="X20" i="5"/>
  <c r="AG20" i="5"/>
  <c r="AS20" i="5"/>
  <c r="AN24" i="5"/>
  <c r="W18" i="5"/>
  <c r="Y18" i="5"/>
  <c r="Z18" i="5" s="1"/>
  <c r="AR20" i="5"/>
  <c r="AF24" i="5"/>
  <c r="W20" i="5"/>
  <c r="AL24" i="5"/>
  <c r="AD24" i="5"/>
  <c r="AB24" i="5"/>
  <c r="S24" i="5"/>
  <c r="AC24" i="5"/>
  <c r="AA24" i="5"/>
  <c r="T24" i="5"/>
  <c r="U24" i="5"/>
  <c r="AK24" i="5"/>
  <c r="Q24" i="5"/>
  <c r="AM24" i="5"/>
  <c r="R24" i="5"/>
  <c r="AE24" i="5"/>
  <c r="AP24" i="5"/>
  <c r="AO24" i="5"/>
  <c r="G55" i="6"/>
  <c r="G39" i="6"/>
  <c r="G59" i="6"/>
  <c r="G50" i="6"/>
  <c r="G44" i="6"/>
  <c r="AT22" i="5"/>
  <c r="AJ14" i="5"/>
  <c r="AJ22" i="5"/>
  <c r="AT18" i="5"/>
  <c r="F17" i="6"/>
  <c r="G17" i="6" s="1"/>
  <c r="AT14" i="5"/>
  <c r="AT26" i="5"/>
  <c r="AJ18" i="5"/>
  <c r="AJ26" i="5"/>
  <c r="G9" i="6"/>
  <c r="G20" i="6"/>
  <c r="AJ6" i="5"/>
  <c r="AT6" i="5"/>
  <c r="AT10" i="5"/>
  <c r="AS9" i="5"/>
  <c r="AJ10" i="5"/>
  <c r="AI9" i="5"/>
  <c r="AQ9" i="5"/>
  <c r="Y10" i="5"/>
  <c r="AR9" i="5"/>
  <c r="AH9" i="5"/>
  <c r="AG9" i="5"/>
  <c r="Y9" i="5"/>
  <c r="X6" i="5"/>
  <c r="X10" i="5"/>
  <c r="X9" i="5"/>
  <c r="W9" i="5"/>
  <c r="F22" i="6" l="1"/>
  <c r="G22" i="6" s="1"/>
  <c r="AD19" i="5"/>
  <c r="T19" i="5"/>
  <c r="AM19" i="5"/>
  <c r="AA19" i="5"/>
  <c r="AL19" i="5"/>
  <c r="AE19" i="5"/>
  <c r="AH19" i="5" s="1"/>
  <c r="J49" i="6" s="1"/>
  <c r="AN19" i="5"/>
  <c r="AS19" i="5" s="1"/>
  <c r="AB19" i="5"/>
  <c r="AF19" i="5"/>
  <c r="Q19" i="5"/>
  <c r="W19" i="5" s="1"/>
  <c r="AO19" i="5"/>
  <c r="AK19" i="5"/>
  <c r="V19" i="5"/>
  <c r="AB3" i="5"/>
  <c r="AC3" i="5"/>
  <c r="AH3" i="5" s="1"/>
  <c r="AD3" i="5"/>
  <c r="AA3" i="5"/>
  <c r="AF3" i="5"/>
  <c r="AS15" i="5"/>
  <c r="F28" i="6"/>
  <c r="G28" i="6" s="1"/>
  <c r="P12" i="5"/>
  <c r="U12" i="5" s="1"/>
  <c r="U3" i="5"/>
  <c r="R3" i="5"/>
  <c r="V3" i="5"/>
  <c r="S3" i="5"/>
  <c r="Q3" i="5"/>
  <c r="T3" i="5"/>
  <c r="AG15" i="5"/>
  <c r="AQ15" i="5"/>
  <c r="AF23" i="5"/>
  <c r="AR15" i="5"/>
  <c r="AH15" i="5"/>
  <c r="AJ15" i="5" s="1"/>
  <c r="AT5" i="5"/>
  <c r="W15" i="5"/>
  <c r="Y15" i="5"/>
  <c r="X15" i="5"/>
  <c r="AR25" i="5"/>
  <c r="AJ5" i="5"/>
  <c r="F11" i="6"/>
  <c r="G11" i="6" s="1"/>
  <c r="AH25" i="5"/>
  <c r="AS25" i="5"/>
  <c r="Y25" i="5"/>
  <c r="Z5" i="5"/>
  <c r="AI25" i="5"/>
  <c r="AG25" i="5"/>
  <c r="W25" i="5"/>
  <c r="X25" i="5"/>
  <c r="AA23" i="5"/>
  <c r="AI13" i="5"/>
  <c r="AB23" i="5"/>
  <c r="AO23" i="5"/>
  <c r="AP23" i="5"/>
  <c r="AD23" i="5"/>
  <c r="AH13" i="5"/>
  <c r="AN23" i="5"/>
  <c r="AM23" i="5"/>
  <c r="AL23" i="5"/>
  <c r="AE23" i="5"/>
  <c r="AH23" i="5" s="1"/>
  <c r="T23" i="5"/>
  <c r="S23" i="5"/>
  <c r="V23" i="5"/>
  <c r="R23" i="5"/>
  <c r="Q23" i="5"/>
  <c r="U23" i="5"/>
  <c r="AK23" i="5"/>
  <c r="W13" i="5"/>
  <c r="AQ13" i="5"/>
  <c r="AR13" i="5"/>
  <c r="X13" i="5"/>
  <c r="H53" i="6"/>
  <c r="AL11" i="5"/>
  <c r="Y24" i="5"/>
  <c r="AO11" i="5"/>
  <c r="AS13" i="5"/>
  <c r="Y13" i="5"/>
  <c r="AG13" i="5"/>
  <c r="AK11" i="5"/>
  <c r="AN11" i="5"/>
  <c r="AM11" i="5"/>
  <c r="AD11" i="5"/>
  <c r="AA11" i="5"/>
  <c r="R11" i="5"/>
  <c r="Q11" i="5"/>
  <c r="U11" i="5"/>
  <c r="AF11" i="5"/>
  <c r="AB11" i="5"/>
  <c r="AE11" i="5"/>
  <c r="AC11" i="5"/>
  <c r="S11" i="5"/>
  <c r="V11" i="5"/>
  <c r="T11" i="5"/>
  <c r="AP11" i="5"/>
  <c r="P8" i="5"/>
  <c r="AC8" i="5" s="1"/>
  <c r="AE16" i="5"/>
  <c r="AF4" i="5"/>
  <c r="V4" i="5"/>
  <c r="AE4" i="5"/>
  <c r="S4" i="5"/>
  <c r="Q4" i="5"/>
  <c r="T4" i="5"/>
  <c r="AD4" i="5"/>
  <c r="R4" i="5"/>
  <c r="AL4" i="5"/>
  <c r="AC4" i="5"/>
  <c r="AP4" i="5"/>
  <c r="AB4" i="5"/>
  <c r="AM4" i="5"/>
  <c r="AO4" i="5"/>
  <c r="AA4" i="5"/>
  <c r="AN4" i="5"/>
  <c r="AK4" i="5"/>
  <c r="U4" i="5"/>
  <c r="AN3" i="5"/>
  <c r="AM3" i="5"/>
  <c r="AK3" i="5"/>
  <c r="AL3" i="5"/>
  <c r="AP3" i="5"/>
  <c r="AO3" i="5"/>
  <c r="AB16" i="5"/>
  <c r="Q7" i="5"/>
  <c r="S16" i="5"/>
  <c r="AN16" i="5"/>
  <c r="AA16" i="5"/>
  <c r="T16" i="5"/>
  <c r="AO16" i="5"/>
  <c r="R16" i="5"/>
  <c r="W16" i="5" s="1"/>
  <c r="AP16" i="5"/>
  <c r="AA7" i="5"/>
  <c r="V16" i="5"/>
  <c r="AL16" i="5"/>
  <c r="AK16" i="5"/>
  <c r="AM16" i="5"/>
  <c r="AC16" i="5"/>
  <c r="AD16" i="5"/>
  <c r="U16" i="5"/>
  <c r="AF16" i="5"/>
  <c r="Z21" i="5"/>
  <c r="AD7" i="5"/>
  <c r="AC7" i="5"/>
  <c r="AN7" i="5"/>
  <c r="S7" i="5"/>
  <c r="V7" i="5"/>
  <c r="R7" i="5"/>
  <c r="AL7" i="5"/>
  <c r="AO7" i="5"/>
  <c r="AR7" i="5" s="1"/>
  <c r="T7" i="5"/>
  <c r="AB7" i="5"/>
  <c r="AP7" i="5"/>
  <c r="U7" i="5"/>
  <c r="AE7" i="5"/>
  <c r="AF7" i="5"/>
  <c r="AK7" i="5"/>
  <c r="Z6" i="5"/>
  <c r="AT21" i="5"/>
  <c r="AJ21" i="5"/>
  <c r="AJ20" i="5"/>
  <c r="AI17" i="5"/>
  <c r="AG17" i="5"/>
  <c r="AR17" i="5"/>
  <c r="AH17" i="5"/>
  <c r="AQ17" i="5"/>
  <c r="Y17" i="5"/>
  <c r="AS17" i="5"/>
  <c r="X17" i="5"/>
  <c r="W17" i="5"/>
  <c r="AR19" i="5"/>
  <c r="AI19" i="5"/>
  <c r="X19" i="5"/>
  <c r="J48" i="6" s="1"/>
  <c r="Z20" i="5"/>
  <c r="H48" i="6"/>
  <c r="AS24" i="5"/>
  <c r="AT20" i="5"/>
  <c r="AG24" i="5"/>
  <c r="H65" i="6" s="1"/>
  <c r="AQ24" i="5"/>
  <c r="AI24" i="5"/>
  <c r="W24" i="5"/>
  <c r="AH24" i="5"/>
  <c r="AR24" i="5"/>
  <c r="X24" i="5"/>
  <c r="AJ9" i="5"/>
  <c r="AT9" i="5"/>
  <c r="Z10" i="5"/>
  <c r="Z9" i="5"/>
  <c r="J53" i="6" l="1"/>
  <c r="J54" i="6"/>
  <c r="Y19" i="5"/>
  <c r="AQ19" i="5"/>
  <c r="AG19" i="5"/>
  <c r="AG3" i="5"/>
  <c r="AI3" i="5"/>
  <c r="AJ3" i="5" s="1"/>
  <c r="AT15" i="5"/>
  <c r="Y3" i="5"/>
  <c r="AL12" i="5"/>
  <c r="AO12" i="5"/>
  <c r="S12" i="5"/>
  <c r="X12" i="5" s="1"/>
  <c r="J31" i="6" s="1"/>
  <c r="AC12" i="5"/>
  <c r="R12" i="5"/>
  <c r="AB12" i="5"/>
  <c r="AK12" i="5"/>
  <c r="AE12" i="5"/>
  <c r="AA12" i="5"/>
  <c r="AD12" i="5"/>
  <c r="V12" i="5"/>
  <c r="AF12" i="5"/>
  <c r="AN12" i="5"/>
  <c r="AP12" i="5"/>
  <c r="Q12" i="5"/>
  <c r="AM12" i="5"/>
  <c r="T12" i="5"/>
  <c r="X3" i="5"/>
  <c r="W3" i="5"/>
  <c r="AI23" i="5"/>
  <c r="AJ23" i="5" s="1"/>
  <c r="AT25" i="5"/>
  <c r="Z15" i="5"/>
  <c r="AJ25" i="5"/>
  <c r="Z25" i="5"/>
  <c r="W7" i="5"/>
  <c r="AQ23" i="5"/>
  <c r="AG23" i="5"/>
  <c r="AJ13" i="5"/>
  <c r="AS23" i="5"/>
  <c r="AR23" i="5"/>
  <c r="AQ4" i="5"/>
  <c r="AT13" i="5"/>
  <c r="X23" i="5"/>
  <c r="J59" i="6" s="1"/>
  <c r="W23" i="5"/>
  <c r="H59" i="6" s="1"/>
  <c r="Y23" i="5"/>
  <c r="AS11" i="5"/>
  <c r="Z13" i="5"/>
  <c r="H66" i="6"/>
  <c r="H61" i="6"/>
  <c r="M49" i="6" a="1"/>
  <c r="M49" i="6" s="1"/>
  <c r="AH11" i="5"/>
  <c r="AQ11" i="5"/>
  <c r="AR11" i="5"/>
  <c r="X11" i="5"/>
  <c r="Y11" i="5"/>
  <c r="W11" i="5"/>
  <c r="AG11" i="5"/>
  <c r="AI11" i="5"/>
  <c r="U8" i="5"/>
  <c r="S8" i="5"/>
  <c r="AO8" i="5"/>
  <c r="V8" i="5"/>
  <c r="AL8" i="5"/>
  <c r="R8" i="5"/>
  <c r="AB8" i="5"/>
  <c r="AI4" i="5"/>
  <c r="AA8" i="5"/>
  <c r="AF8" i="5"/>
  <c r="AD8" i="5"/>
  <c r="AE8" i="5"/>
  <c r="AH8" i="5" s="1"/>
  <c r="T8" i="5"/>
  <c r="AM8" i="5"/>
  <c r="Q8" i="5"/>
  <c r="AP8" i="5"/>
  <c r="AN8" i="5"/>
  <c r="AK8" i="5"/>
  <c r="AH16" i="5"/>
  <c r="J43" i="6" s="1"/>
  <c r="AH4" i="5"/>
  <c r="AG4" i="5"/>
  <c r="H5" i="6" s="1"/>
  <c r="Y4" i="5"/>
  <c r="AR4" i="5"/>
  <c r="W4" i="5"/>
  <c r="X4" i="5"/>
  <c r="AS4" i="5"/>
  <c r="AQ3" i="5"/>
  <c r="AR3" i="5"/>
  <c r="AS3" i="5"/>
  <c r="H60" i="6"/>
  <c r="AS16" i="5"/>
  <c r="X16" i="5"/>
  <c r="J42" i="6" s="1"/>
  <c r="AG16" i="5"/>
  <c r="H43" i="6" s="1"/>
  <c r="AR16" i="5"/>
  <c r="J44" i="6" s="1"/>
  <c r="AI16" i="5"/>
  <c r="AQ16" i="5"/>
  <c r="H44" i="6" s="1"/>
  <c r="Y16" i="5"/>
  <c r="AG7" i="5"/>
  <c r="AQ7" i="5"/>
  <c r="X7" i="5"/>
  <c r="AI7" i="5"/>
  <c r="Y7" i="5"/>
  <c r="AS7" i="5"/>
  <c r="AT7" i="5" s="1"/>
  <c r="AH7" i="5"/>
  <c r="H42" i="6"/>
  <c r="M53" i="6" a="1"/>
  <c r="M53" i="6" s="1"/>
  <c r="M54" i="6" a="1"/>
  <c r="M54" i="6" s="1"/>
  <c r="M55" i="6" a="1"/>
  <c r="M55" i="6" s="1"/>
  <c r="H37" i="6"/>
  <c r="AJ17" i="5"/>
  <c r="AT19" i="5"/>
  <c r="AT17" i="5"/>
  <c r="Z17" i="5"/>
  <c r="Z19" i="5"/>
  <c r="I48" i="6" s="1"/>
  <c r="AJ19" i="5"/>
  <c r="I49" i="6" s="1"/>
  <c r="M48" i="6" a="1"/>
  <c r="M48" i="6" s="1"/>
  <c r="M50" i="6" a="1"/>
  <c r="M50" i="6" s="1"/>
  <c r="J65" i="6"/>
  <c r="J60" i="6"/>
  <c r="AJ24" i="5"/>
  <c r="Z24" i="5"/>
  <c r="J64" i="6"/>
  <c r="H64" i="6"/>
  <c r="J66" i="6"/>
  <c r="J61" i="6"/>
  <c r="AT24" i="5"/>
  <c r="I53" i="6" l="1"/>
  <c r="I54" i="6"/>
  <c r="H49" i="6"/>
  <c r="H54" i="6"/>
  <c r="J26" i="6"/>
  <c r="J11" i="6"/>
  <c r="J6" i="6"/>
  <c r="H11" i="6"/>
  <c r="H6" i="6"/>
  <c r="Z3" i="5"/>
  <c r="W12" i="5"/>
  <c r="H31" i="6" s="1"/>
  <c r="AQ12" i="5"/>
  <c r="AH12" i="5"/>
  <c r="J32" i="6" s="1"/>
  <c r="M32" i="6" s="1" a="1"/>
  <c r="M32" i="6" s="1"/>
  <c r="AR12" i="5"/>
  <c r="Y12" i="5"/>
  <c r="Z12" i="5" s="1"/>
  <c r="I31" i="6" s="1"/>
  <c r="AS12" i="5"/>
  <c r="AI12" i="5"/>
  <c r="AG12" i="5"/>
  <c r="H32" i="6" s="1"/>
  <c r="AT23" i="5"/>
  <c r="L53" i="6" a="1"/>
  <c r="L53" i="6" s="1"/>
  <c r="Z23" i="5"/>
  <c r="AT11" i="5"/>
  <c r="AJ11" i="5"/>
  <c r="Z11" i="5"/>
  <c r="AQ8" i="5"/>
  <c r="J38" i="6"/>
  <c r="AS8" i="5"/>
  <c r="AR8" i="5"/>
  <c r="X8" i="5"/>
  <c r="J15" i="6" s="1"/>
  <c r="W8" i="5"/>
  <c r="Y8" i="5"/>
  <c r="AJ4" i="5"/>
  <c r="I10" i="6" s="1"/>
  <c r="AI8" i="5"/>
  <c r="AJ8" i="5" s="1"/>
  <c r="AG8" i="5"/>
  <c r="H16" i="6" s="1"/>
  <c r="J16" i="6"/>
  <c r="AJ16" i="5"/>
  <c r="I43" i="6" s="1"/>
  <c r="H10" i="6"/>
  <c r="J10" i="6"/>
  <c r="J5" i="6"/>
  <c r="Z4" i="5"/>
  <c r="J4" i="6"/>
  <c r="J9" i="6"/>
  <c r="H4" i="6"/>
  <c r="H9" i="6"/>
  <c r="AT4" i="5"/>
  <c r="AT3" i="5"/>
  <c r="L55" i="6" a="1"/>
  <c r="L55" i="6" s="1"/>
  <c r="H38" i="6"/>
  <c r="AT16" i="5"/>
  <c r="I39" i="6" s="1"/>
  <c r="J37" i="6"/>
  <c r="Z16" i="5"/>
  <c r="I42" i="6" s="1"/>
  <c r="H39" i="6"/>
  <c r="J39" i="6"/>
  <c r="Z7" i="5"/>
  <c r="AJ7" i="5"/>
  <c r="J21" i="6"/>
  <c r="K43" i="6" a="1"/>
  <c r="K43" i="6" s="1"/>
  <c r="K42" i="6" a="1"/>
  <c r="K42" i="6" s="1"/>
  <c r="K44" i="6" a="1"/>
  <c r="K44" i="6" s="1"/>
  <c r="L49" i="6" a="1"/>
  <c r="L49" i="6" s="1"/>
  <c r="L50" i="6" a="1"/>
  <c r="L50" i="6" s="1"/>
  <c r="L48" i="6" a="1"/>
  <c r="L48" i="6" s="1"/>
  <c r="M42" i="6" a="1"/>
  <c r="M42" i="6" s="1"/>
  <c r="M44" i="6" a="1"/>
  <c r="M44" i="6" s="1"/>
  <c r="M43" i="6" a="1"/>
  <c r="M43" i="6" s="1"/>
  <c r="M61" i="6" a="1"/>
  <c r="M61" i="6" s="1"/>
  <c r="M60" i="6" a="1"/>
  <c r="M60" i="6" s="1"/>
  <c r="M64" i="6" a="1"/>
  <c r="M64" i="6" s="1"/>
  <c r="K64" i="6" a="1"/>
  <c r="K64" i="6" s="1"/>
  <c r="K65" i="6" a="1"/>
  <c r="K65" i="6" s="1"/>
  <c r="K66" i="6" a="1"/>
  <c r="K66" i="6" s="1"/>
  <c r="I59" i="6"/>
  <c r="I64" i="6"/>
  <c r="M59" i="6" a="1"/>
  <c r="M59" i="6" s="1"/>
  <c r="I61" i="6"/>
  <c r="I66" i="6"/>
  <c r="I65" i="6"/>
  <c r="I60" i="6"/>
  <c r="M66" i="6" a="1"/>
  <c r="M66" i="6" s="1"/>
  <c r="K60" i="6" a="1"/>
  <c r="K60" i="6" s="1"/>
  <c r="K59" i="6" a="1"/>
  <c r="K59" i="6" s="1"/>
  <c r="K61" i="6" a="1"/>
  <c r="K61" i="6" s="1"/>
  <c r="M65" i="6" a="1"/>
  <c r="M65" i="6" s="1"/>
  <c r="L54" i="6" l="1" a="1"/>
  <c r="L54" i="6" s="1"/>
  <c r="K53" i="6" a="1"/>
  <c r="K53" i="6" s="1"/>
  <c r="N53" i="6" s="1"/>
  <c r="K55" i="6" a="1"/>
  <c r="K55" i="6" s="1"/>
  <c r="N55" i="6" s="1"/>
  <c r="K54" i="6" a="1"/>
  <c r="K54" i="6" s="1"/>
  <c r="K49" i="6" a="1"/>
  <c r="K49" i="6" s="1"/>
  <c r="N49" i="6" s="1"/>
  <c r="K50" i="6" a="1"/>
  <c r="K50" i="6" s="1"/>
  <c r="N50" i="6" s="1"/>
  <c r="K48" i="6" a="1"/>
  <c r="K48" i="6" s="1"/>
  <c r="N48" i="6" s="1"/>
  <c r="I26" i="6"/>
  <c r="J27" i="6"/>
  <c r="M28" i="6" s="1" a="1"/>
  <c r="M28" i="6" s="1"/>
  <c r="H27" i="6"/>
  <c r="H26" i="6"/>
  <c r="M31" i="6" a="1"/>
  <c r="M31" i="6" s="1"/>
  <c r="H22" i="6"/>
  <c r="H17" i="6"/>
  <c r="I11" i="6"/>
  <c r="I6" i="6"/>
  <c r="J20" i="6"/>
  <c r="J22" i="6"/>
  <c r="J17" i="6"/>
  <c r="M17" i="6" s="1" a="1"/>
  <c r="M17" i="6" s="1"/>
  <c r="M33" i="6" a="1"/>
  <c r="M33" i="6" s="1"/>
  <c r="K31" i="6" a="1"/>
  <c r="K31" i="6" s="1"/>
  <c r="K32" i="6" a="1"/>
  <c r="K32" i="6" s="1"/>
  <c r="AJ12" i="5"/>
  <c r="I32" i="6" s="1"/>
  <c r="L32" i="6" s="1" a="1"/>
  <c r="L32" i="6" s="1"/>
  <c r="AT12" i="5"/>
  <c r="K33" i="6" a="1"/>
  <c r="K33" i="6" s="1"/>
  <c r="H20" i="6"/>
  <c r="H15" i="6"/>
  <c r="H21" i="6"/>
  <c r="I37" i="6"/>
  <c r="AT8" i="5"/>
  <c r="I38" i="6"/>
  <c r="I5" i="6"/>
  <c r="Z8" i="5"/>
  <c r="I15" i="6" s="1"/>
  <c r="I16" i="6"/>
  <c r="K9" i="6" a="1"/>
  <c r="K9" i="6" s="1"/>
  <c r="K11" i="6" a="1"/>
  <c r="K11" i="6" s="1"/>
  <c r="K10" i="6" a="1"/>
  <c r="K10" i="6" s="1"/>
  <c r="K6" i="6" a="1"/>
  <c r="K6" i="6" s="1"/>
  <c r="K5" i="6" a="1"/>
  <c r="K5" i="6" s="1"/>
  <c r="K4" i="6" a="1"/>
  <c r="K4" i="6" s="1"/>
  <c r="M10" i="6" a="1"/>
  <c r="M10" i="6" s="1"/>
  <c r="M11" i="6" a="1"/>
  <c r="M11" i="6" s="1"/>
  <c r="M9" i="6" a="1"/>
  <c r="M9" i="6" s="1"/>
  <c r="M5" i="6" a="1"/>
  <c r="M5" i="6" s="1"/>
  <c r="M6" i="6" a="1"/>
  <c r="M6" i="6" s="1"/>
  <c r="M4" i="6" a="1"/>
  <c r="M4" i="6" s="1"/>
  <c r="I9" i="6"/>
  <c r="I4" i="6"/>
  <c r="M39" i="6" a="1"/>
  <c r="M39" i="6" s="1"/>
  <c r="K38" i="6" a="1"/>
  <c r="K38" i="6" s="1"/>
  <c r="I44" i="6"/>
  <c r="L43" i="6" s="1" a="1"/>
  <c r="L43" i="6" s="1"/>
  <c r="N43" i="6" s="1"/>
  <c r="K39" i="6" a="1"/>
  <c r="K39" i="6" s="1"/>
  <c r="K37" i="6" a="1"/>
  <c r="K37" i="6" s="1"/>
  <c r="M38" i="6" a="1"/>
  <c r="M38" i="6" s="1"/>
  <c r="M37" i="6" a="1"/>
  <c r="M37" i="6" s="1"/>
  <c r="I21" i="6"/>
  <c r="L65" i="6" a="1"/>
  <c r="L65" i="6" s="1"/>
  <c r="N65" i="6" s="1"/>
  <c r="L61" i="6" a="1"/>
  <c r="L61" i="6" s="1"/>
  <c r="N61" i="6" s="1"/>
  <c r="L66" i="6" a="1"/>
  <c r="L66" i="6" s="1"/>
  <c r="N66" i="6" s="1"/>
  <c r="L64" i="6" a="1"/>
  <c r="L64" i="6" s="1"/>
  <c r="N64" i="6" s="1"/>
  <c r="L59" i="6" a="1"/>
  <c r="L59" i="6" s="1"/>
  <c r="N59" i="6" s="1"/>
  <c r="L60" i="6" a="1"/>
  <c r="L60" i="6" s="1"/>
  <c r="N60" i="6" s="1"/>
  <c r="AO21" i="4"/>
  <c r="AP21" i="4"/>
  <c r="AP20" i="4"/>
  <c r="AO20" i="4"/>
  <c r="N54" i="6" l="1"/>
  <c r="O54" i="6" s="1" a="1"/>
  <c r="O54" i="6" s="1"/>
  <c r="O55" i="6" a="1"/>
  <c r="O55" i="6" s="1"/>
  <c r="O48" i="6" a="1"/>
  <c r="O48" i="6" s="1"/>
  <c r="O50" i="6" a="1"/>
  <c r="O50" i="6" s="1"/>
  <c r="O49" i="6" a="1"/>
  <c r="O49" i="6" s="1"/>
  <c r="O53" i="6" a="1"/>
  <c r="O53" i="6" s="1"/>
  <c r="K27" i="6" a="1"/>
  <c r="K27" i="6" s="1"/>
  <c r="M27" i="6" a="1"/>
  <c r="M27" i="6" s="1"/>
  <c r="M26" i="6" a="1"/>
  <c r="M26" i="6" s="1"/>
  <c r="K26" i="6" a="1"/>
  <c r="K26" i="6" s="1"/>
  <c r="I27" i="6"/>
  <c r="L27" i="6" s="1" a="1"/>
  <c r="L27" i="6" s="1"/>
  <c r="L33" i="6" a="1"/>
  <c r="L33" i="6" s="1"/>
  <c r="N33" i="6" s="1"/>
  <c r="K28" i="6" a="1"/>
  <c r="K28" i="6" s="1"/>
  <c r="L31" i="6" a="1"/>
  <c r="L31" i="6" s="1"/>
  <c r="N31" i="6" s="1"/>
  <c r="K16" i="6" a="1"/>
  <c r="K16" i="6" s="1"/>
  <c r="M21" i="6" a="1"/>
  <c r="M21" i="6" s="1"/>
  <c r="M22" i="6" a="1"/>
  <c r="M22" i="6" s="1"/>
  <c r="M20" i="6" a="1"/>
  <c r="M20" i="6" s="1"/>
  <c r="M16" i="6" a="1"/>
  <c r="M16" i="6" s="1"/>
  <c r="M15" i="6" a="1"/>
  <c r="M15" i="6" s="1"/>
  <c r="I22" i="6"/>
  <c r="I17" i="6"/>
  <c r="L15" i="6" s="1" a="1"/>
  <c r="L15" i="6" s="1"/>
  <c r="K20" i="6" a="1"/>
  <c r="K20" i="6" s="1"/>
  <c r="N32" i="6"/>
  <c r="K17" i="6" a="1"/>
  <c r="K17" i="6" s="1"/>
  <c r="K15" i="6" a="1"/>
  <c r="K15" i="6" s="1"/>
  <c r="K21" i="6" a="1"/>
  <c r="K21" i="6" s="1"/>
  <c r="I20" i="6"/>
  <c r="K22" i="6" a="1"/>
  <c r="K22" i="6" s="1"/>
  <c r="L38" i="6" a="1"/>
  <c r="L38" i="6" s="1"/>
  <c r="N38" i="6" s="1"/>
  <c r="L37" i="6" a="1"/>
  <c r="L37" i="6" s="1"/>
  <c r="N37" i="6" s="1"/>
  <c r="L39" i="6" a="1"/>
  <c r="L39" i="6" s="1"/>
  <c r="N39" i="6" s="1"/>
  <c r="AW21" i="4"/>
  <c r="L6" i="6" a="1"/>
  <c r="L6" i="6" s="1"/>
  <c r="N6" i="6" s="1"/>
  <c r="L4" i="6" a="1"/>
  <c r="L4" i="6" s="1"/>
  <c r="N4" i="6" s="1"/>
  <c r="L5" i="6" a="1"/>
  <c r="L5" i="6" s="1"/>
  <c r="N5" i="6" s="1"/>
  <c r="L9" i="6" a="1"/>
  <c r="L9" i="6" s="1"/>
  <c r="N9" i="6" s="1"/>
  <c r="L11" i="6" a="1"/>
  <c r="L11" i="6" s="1"/>
  <c r="N11" i="6" s="1"/>
  <c r="L10" i="6" a="1"/>
  <c r="L10" i="6" s="1"/>
  <c r="N10" i="6" s="1"/>
  <c r="L44" i="6" a="1"/>
  <c r="L44" i="6" s="1"/>
  <c r="N44" i="6" s="1"/>
  <c r="L42" i="6" a="1"/>
  <c r="L42" i="6" s="1"/>
  <c r="N42" i="6" s="1"/>
  <c r="AW20" i="4"/>
  <c r="O60" i="6" a="1"/>
  <c r="O60" i="6" s="1"/>
  <c r="O64" i="6" a="1"/>
  <c r="O64" i="6" s="1"/>
  <c r="O66" i="6" a="1"/>
  <c r="O66" i="6" s="1"/>
  <c r="O59" i="6" a="1"/>
  <c r="O59" i="6" s="1"/>
  <c r="O65" i="6" a="1"/>
  <c r="O65" i="6" s="1"/>
  <c r="O61" i="6" a="1"/>
  <c r="O61" i="6" s="1"/>
  <c r="AO19" i="4"/>
  <c r="AO22" i="4"/>
  <c r="AP22" i="4"/>
  <c r="AP19" i="4"/>
  <c r="AO25" i="4"/>
  <c r="AP24" i="4"/>
  <c r="AO26" i="4"/>
  <c r="AO23" i="4"/>
  <c r="AP23" i="4"/>
  <c r="AO24" i="4"/>
  <c r="AP26" i="4"/>
  <c r="AP25" i="4"/>
  <c r="AW19" i="4" l="1"/>
  <c r="AW22" i="4"/>
  <c r="L26" i="6" a="1"/>
  <c r="L26" i="6" s="1"/>
  <c r="N26" i="6" s="1"/>
  <c r="N27" i="6"/>
  <c r="L28" i="6" a="1"/>
  <c r="L28" i="6" s="1"/>
  <c r="N28" i="6" s="1"/>
  <c r="L16" i="6" a="1"/>
  <c r="L16" i="6" s="1"/>
  <c r="N16" i="6" s="1"/>
  <c r="L17" i="6" a="1"/>
  <c r="L17" i="6" s="1"/>
  <c r="N17" i="6" s="1"/>
  <c r="O32" i="6" a="1"/>
  <c r="O32" i="6" s="1"/>
  <c r="L20" i="6" a="1"/>
  <c r="L20" i="6" s="1"/>
  <c r="N20" i="6" s="1"/>
  <c r="O31" i="6" a="1"/>
  <c r="O31" i="6" s="1"/>
  <c r="O33" i="6" a="1"/>
  <c r="O33" i="6" s="1"/>
  <c r="L21" i="6" a="1"/>
  <c r="L21" i="6" s="1"/>
  <c r="N21" i="6" s="1"/>
  <c r="L22" i="6" a="1"/>
  <c r="L22" i="6" s="1"/>
  <c r="N22" i="6" s="1"/>
  <c r="N15" i="6"/>
  <c r="O5" i="6" a="1"/>
  <c r="O5" i="6" s="1"/>
  <c r="O4" i="6" a="1"/>
  <c r="O4" i="6" s="1"/>
  <c r="O10" i="6" a="1"/>
  <c r="O10" i="6" s="1"/>
  <c r="O11" i="6" a="1"/>
  <c r="O11" i="6" s="1"/>
  <c r="O9" i="6" a="1"/>
  <c r="O9" i="6" s="1"/>
  <c r="O6" i="6" a="1"/>
  <c r="O6" i="6" s="1"/>
  <c r="O42" i="6" a="1"/>
  <c r="O42" i="6" s="1"/>
  <c r="O43" i="6" a="1"/>
  <c r="O43" i="6" s="1"/>
  <c r="O44" i="6" a="1"/>
  <c r="O44" i="6" s="1"/>
  <c r="O39" i="6" a="1"/>
  <c r="O39" i="6" s="1"/>
  <c r="O37" i="6" a="1"/>
  <c r="O37" i="6" s="1"/>
  <c r="O38" i="6" a="1"/>
  <c r="O38" i="6" s="1"/>
  <c r="AW23" i="4"/>
  <c r="AW26" i="4"/>
  <c r="AW24" i="4"/>
  <c r="AW25" i="4"/>
  <c r="AP12" i="4"/>
  <c r="AP14" i="4"/>
  <c r="AP13" i="4"/>
  <c r="AP4" i="4"/>
  <c r="AP11" i="4"/>
  <c r="AO13" i="4"/>
  <c r="AO4" i="4"/>
  <c r="AP15" i="4"/>
  <c r="AO15" i="4"/>
  <c r="AO3" i="4"/>
  <c r="AO5" i="4"/>
  <c r="AP5" i="4"/>
  <c r="AP6" i="4"/>
  <c r="AP3" i="4"/>
  <c r="AO6" i="4"/>
  <c r="AP16" i="4"/>
  <c r="AP17" i="4"/>
  <c r="AP18" i="4"/>
  <c r="AO18" i="4"/>
  <c r="AO16" i="4"/>
  <c r="AO17" i="4"/>
  <c r="O26" i="6" l="1" a="1"/>
  <c r="O26" i="6" s="1"/>
  <c r="O28" i="6" a="1"/>
  <c r="O28" i="6" s="1"/>
  <c r="O27" i="6" a="1"/>
  <c r="O27" i="6" s="1"/>
  <c r="O22" i="6" a="1"/>
  <c r="O22" i="6" s="1"/>
  <c r="O21" i="6" a="1"/>
  <c r="O21" i="6" s="1"/>
  <c r="O17" i="6" a="1"/>
  <c r="O17" i="6" s="1"/>
  <c r="O15" i="6" a="1"/>
  <c r="O15" i="6" s="1"/>
  <c r="O16" i="6" a="1"/>
  <c r="O16" i="6" s="1"/>
  <c r="AW13" i="4"/>
  <c r="O20" i="6" a="1"/>
  <c r="O20" i="6" s="1"/>
  <c r="AW4" i="4"/>
  <c r="AW15" i="4"/>
  <c r="AW5" i="4"/>
  <c r="AW6" i="4"/>
  <c r="AW3" i="4"/>
  <c r="AW18" i="4"/>
  <c r="AW17" i="4"/>
  <c r="AW16" i="4"/>
  <c r="AO11" i="4"/>
  <c r="AO14" i="4"/>
  <c r="AO12" i="4"/>
  <c r="AP10" i="4"/>
  <c r="AO8" i="4"/>
  <c r="AP7" i="4"/>
  <c r="AO9" i="4"/>
  <c r="AP9" i="4"/>
  <c r="AO7" i="4"/>
  <c r="AO10" i="4"/>
  <c r="AP8" i="4"/>
  <c r="AW11" i="4" l="1"/>
  <c r="AW14" i="4"/>
  <c r="AW12" i="4"/>
  <c r="AW10" i="4"/>
  <c r="AW7" i="4"/>
  <c r="AW9" i="4"/>
  <c r="AW8" i="4"/>
  <c r="AX7" i="4" l="1" a="1"/>
  <c r="AX7" i="4" s="1"/>
  <c r="AY7" i="4" s="1"/>
  <c r="AX13" i="4" a="1"/>
  <c r="AX13" i="4" s="1"/>
  <c r="AY13" i="4" s="1"/>
  <c r="AX25" i="4" a="1"/>
  <c r="AX25" i="4" s="1"/>
  <c r="AY25" i="4" s="1"/>
  <c r="AX9" i="4" a="1"/>
  <c r="AX9" i="4" s="1"/>
  <c r="AY9" i="4" s="1"/>
  <c r="AX23" i="4" a="1"/>
  <c r="AX23" i="4" s="1"/>
  <c r="AY23" i="4" s="1"/>
  <c r="AX20" i="4" a="1"/>
  <c r="AX20" i="4" s="1"/>
  <c r="AY20" i="4" s="1"/>
  <c r="AX16" i="4" a="1"/>
  <c r="AX16" i="4" s="1"/>
  <c r="AY16" i="4" s="1"/>
  <c r="AX21" i="4" a="1"/>
  <c r="AX21" i="4" s="1"/>
  <c r="AY21" i="4" s="1"/>
  <c r="AX14" i="4" a="1"/>
  <c r="AX14" i="4" s="1"/>
  <c r="AY14" i="4" s="1"/>
  <c r="AX8" i="4" a="1"/>
  <c r="AX8" i="4" s="1"/>
  <c r="AY8" i="4" s="1"/>
  <c r="AX12" i="4" a="1"/>
  <c r="AX12" i="4" s="1"/>
  <c r="AY12" i="4" s="1"/>
  <c r="AX11" i="4" a="1"/>
  <c r="AX11" i="4" s="1"/>
  <c r="AY11" i="4" s="1"/>
  <c r="AX17" i="4" a="1"/>
  <c r="AX17" i="4" s="1"/>
  <c r="AY17" i="4" s="1"/>
  <c r="AX3" i="4" a="1"/>
  <c r="AX3" i="4" s="1"/>
  <c r="AY3" i="4" s="1"/>
  <c r="AX26" i="4" a="1"/>
  <c r="AX26" i="4" s="1"/>
  <c r="AY26" i="4" s="1"/>
  <c r="AX10" i="4" a="1"/>
  <c r="AX10" i="4" s="1"/>
  <c r="AY10" i="4" s="1"/>
  <c r="AX6" i="4" a="1"/>
  <c r="AX6" i="4" s="1"/>
  <c r="AY6" i="4" s="1"/>
  <c r="AX22" i="4" a="1"/>
  <c r="AX22" i="4" s="1"/>
  <c r="AY22" i="4" s="1"/>
  <c r="AX24" i="4" a="1"/>
  <c r="AX24" i="4" s="1"/>
  <c r="AY24" i="4" s="1"/>
  <c r="AX18" i="4" a="1"/>
  <c r="AX18" i="4" s="1"/>
  <c r="AY18" i="4" s="1"/>
  <c r="AX19" i="4" a="1"/>
  <c r="AX19" i="4" s="1"/>
  <c r="AY19" i="4" s="1"/>
  <c r="AX4" i="4" a="1"/>
  <c r="AX4" i="4" s="1"/>
  <c r="AY4" i="4" s="1"/>
  <c r="AX5" i="4" a="1"/>
  <c r="AX5" i="4" s="1"/>
  <c r="AY5" i="4" s="1"/>
  <c r="AX15" i="4" a="1"/>
  <c r="AX15" i="4" s="1"/>
  <c r="AY15" i="4" s="1"/>
  <c r="I8" i="7" l="1"/>
  <c r="J44" i="7"/>
  <c r="O41" i="7"/>
  <c r="F32" i="7"/>
  <c r="N8" i="7"/>
  <c r="L41" i="7"/>
  <c r="G8" i="7"/>
  <c r="M32" i="7"/>
  <c r="L33" i="7"/>
  <c r="N41" i="7"/>
  <c r="J41" i="7"/>
  <c r="K22" i="7"/>
  <c r="F43" i="7"/>
  <c r="F42" i="7"/>
  <c r="C5" i="8"/>
  <c r="C20" i="7"/>
  <c r="E20" i="7" s="1"/>
  <c r="P43" i="7"/>
  <c r="U43" i="7" s="1"/>
  <c r="P42" i="7"/>
  <c r="T42" i="7" s="1"/>
  <c r="K33" i="7"/>
  <c r="M20" i="7"/>
  <c r="J43" i="7"/>
  <c r="H32" i="7"/>
  <c r="I19" i="7"/>
  <c r="H42" i="7"/>
  <c r="N33" i="7"/>
  <c r="H41" i="7"/>
  <c r="H43" i="7"/>
  <c r="I30" i="7"/>
  <c r="F11" i="7"/>
  <c r="K43" i="7"/>
  <c r="C42" i="7"/>
  <c r="E42" i="7" s="1"/>
  <c r="F44" i="7"/>
  <c r="M41" i="7"/>
  <c r="I42" i="7"/>
  <c r="P44" i="7"/>
  <c r="U44" i="7" s="1"/>
  <c r="P32" i="7"/>
  <c r="U32" i="7" s="1"/>
  <c r="O33" i="7"/>
  <c r="M19" i="7"/>
  <c r="F22" i="7"/>
  <c r="N10" i="7"/>
  <c r="J8" i="7"/>
  <c r="H64" i="7"/>
  <c r="G43" i="7"/>
  <c r="M43" i="7"/>
  <c r="H9" i="7"/>
  <c r="M42" i="7"/>
  <c r="I44" i="7"/>
  <c r="I32" i="7"/>
  <c r="H31" i="7"/>
  <c r="O22" i="7"/>
  <c r="H11" i="7"/>
  <c r="J11" i="7"/>
  <c r="K42" i="7"/>
  <c r="C43" i="7"/>
  <c r="E43" i="7" s="1"/>
  <c r="G41" i="7"/>
  <c r="I43" i="7"/>
  <c r="L42" i="7"/>
  <c r="L43" i="7"/>
  <c r="O42" i="7"/>
  <c r="G32" i="7"/>
  <c r="M33" i="7"/>
  <c r="P33" i="7"/>
  <c r="Q33" i="7" s="1"/>
  <c r="P21" i="7"/>
  <c r="T21" i="7" s="1"/>
  <c r="J19" i="7"/>
  <c r="L11" i="7"/>
  <c r="C3" i="8"/>
  <c r="I41" i="7"/>
  <c r="K55" i="7"/>
  <c r="L20" i="7"/>
  <c r="J42" i="7"/>
  <c r="K41" i="7"/>
  <c r="C41" i="7"/>
  <c r="E41" i="7" s="1"/>
  <c r="H44" i="7"/>
  <c r="O43" i="7"/>
  <c r="O32" i="7"/>
  <c r="P30" i="7"/>
  <c r="R30" i="7" s="1"/>
  <c r="K30" i="7"/>
  <c r="O19" i="7"/>
  <c r="P20" i="7"/>
  <c r="T20" i="7" s="1"/>
  <c r="G10" i="7"/>
  <c r="D6" i="8"/>
  <c r="N43" i="7"/>
  <c r="N42" i="7"/>
  <c r="G42" i="7"/>
  <c r="F41" i="7"/>
  <c r="P41" i="7"/>
  <c r="J33" i="7"/>
  <c r="J31" i="7"/>
  <c r="F21" i="7"/>
  <c r="M22" i="7"/>
  <c r="K19" i="7"/>
  <c r="N21" i="7"/>
  <c r="J21" i="7"/>
  <c r="M21" i="7"/>
  <c r="H52" i="7"/>
  <c r="H3" i="8"/>
  <c r="K7" i="8"/>
  <c r="I52" i="7"/>
  <c r="N9" i="7"/>
  <c r="K3" i="8"/>
  <c r="I65" i="7"/>
  <c r="D4" i="8"/>
  <c r="J52" i="7"/>
  <c r="N64" i="7"/>
  <c r="E4" i="8"/>
  <c r="K44" i="7"/>
  <c r="G54" i="7"/>
  <c r="G53" i="7"/>
  <c r="O64" i="7"/>
  <c r="C30" i="7"/>
  <c r="E30" i="7" s="1"/>
  <c r="C33" i="7"/>
  <c r="E33" i="7" s="1"/>
  <c r="H30" i="7"/>
  <c r="N32" i="7"/>
  <c r="J30" i="7"/>
  <c r="I31" i="7"/>
  <c r="J22" i="7"/>
  <c r="H21" i="7"/>
  <c r="I21" i="7"/>
  <c r="N22" i="7"/>
  <c r="H20" i="7"/>
  <c r="I20" i="7"/>
  <c r="F8" i="7"/>
  <c r="O10" i="7"/>
  <c r="K11" i="7"/>
  <c r="P9" i="7"/>
  <c r="Q9" i="7" s="1"/>
  <c r="J3" i="8"/>
  <c r="G4" i="8"/>
  <c r="L4" i="8"/>
  <c r="N7" i="8"/>
  <c r="C44" i="7"/>
  <c r="E44" i="7" s="1"/>
  <c r="N44" i="7"/>
  <c r="G44" i="7"/>
  <c r="L44" i="7"/>
  <c r="O44" i="7"/>
  <c r="C52" i="7"/>
  <c r="E52" i="7" s="1"/>
  <c r="H53" i="7"/>
  <c r="I64" i="7"/>
  <c r="F30" i="7"/>
  <c r="L30" i="7"/>
  <c r="F31" i="7"/>
  <c r="G31" i="7"/>
  <c r="P31" i="7"/>
  <c r="T31" i="7" s="1"/>
  <c r="I33" i="7"/>
  <c r="K20" i="7"/>
  <c r="C22" i="7"/>
  <c r="E22" i="7" s="1"/>
  <c r="H19" i="7"/>
  <c r="G20" i="7"/>
  <c r="C21" i="7"/>
  <c r="E21" i="7" s="1"/>
  <c r="I22" i="7"/>
  <c r="C9" i="7"/>
  <c r="E9" i="7" s="1"/>
  <c r="M9" i="7"/>
  <c r="G9" i="7"/>
  <c r="K8" i="7"/>
  <c r="N5" i="8"/>
  <c r="N4" i="8"/>
  <c r="L8" i="9"/>
  <c r="F8" i="8"/>
  <c r="C55" i="7"/>
  <c r="E55" i="7" s="1"/>
  <c r="K52" i="7"/>
  <c r="M30" i="7"/>
  <c r="N30" i="7"/>
  <c r="G30" i="7"/>
  <c r="N31" i="7"/>
  <c r="O31" i="7"/>
  <c r="C32" i="7"/>
  <c r="E32" i="7" s="1"/>
  <c r="C19" i="7"/>
  <c r="E19" i="7" s="1"/>
  <c r="O21" i="7"/>
  <c r="L22" i="7"/>
  <c r="P19" i="7"/>
  <c r="R19" i="7" s="1"/>
  <c r="O20" i="7"/>
  <c r="L21" i="7"/>
  <c r="C8" i="7"/>
  <c r="E8" i="7" s="1"/>
  <c r="L9" i="7"/>
  <c r="M11" i="7"/>
  <c r="O9" i="7"/>
  <c r="I9" i="7"/>
  <c r="G7" i="8"/>
  <c r="M8" i="8"/>
  <c r="L7" i="9"/>
  <c r="M44" i="7"/>
  <c r="L55" i="7"/>
  <c r="I53" i="7"/>
  <c r="K31" i="7"/>
  <c r="C31" i="7"/>
  <c r="E31" i="7" s="1"/>
  <c r="O30" i="7"/>
  <c r="J32" i="7"/>
  <c r="K32" i="7"/>
  <c r="L32" i="7"/>
  <c r="L19" i="7"/>
  <c r="F19" i="7"/>
  <c r="G21" i="7"/>
  <c r="F20" i="7"/>
  <c r="K21" i="7"/>
  <c r="H22" i="7"/>
  <c r="L8" i="7"/>
  <c r="H10" i="7"/>
  <c r="H8" i="7"/>
  <c r="O11" i="7"/>
  <c r="C6" i="8"/>
  <c r="J4" i="8"/>
  <c r="I5" i="8"/>
  <c r="M6" i="9"/>
  <c r="L52" i="7"/>
  <c r="F65" i="7"/>
  <c r="L31" i="7"/>
  <c r="M31" i="7"/>
  <c r="F33" i="7"/>
  <c r="G33" i="7"/>
  <c r="H33" i="7"/>
  <c r="J20" i="7"/>
  <c r="N19" i="7"/>
  <c r="G19" i="7"/>
  <c r="N20" i="7"/>
  <c r="G22" i="7"/>
  <c r="P22" i="7"/>
  <c r="Q22" i="7" s="1"/>
  <c r="J9" i="7"/>
  <c r="C11" i="7"/>
  <c r="E11" i="7" s="1"/>
  <c r="F9" i="7"/>
  <c r="K9" i="7"/>
  <c r="C4" i="8"/>
  <c r="E7" i="8"/>
  <c r="D7" i="8"/>
  <c r="J6" i="8"/>
  <c r="L11" i="9"/>
  <c r="F52" i="7"/>
  <c r="N54" i="7"/>
  <c r="P52" i="7"/>
  <c r="U52" i="7" s="1"/>
  <c r="O53" i="7"/>
  <c r="P53" i="7"/>
  <c r="V53" i="7" s="1"/>
  <c r="M54" i="7"/>
  <c r="N65" i="7"/>
  <c r="M66" i="7"/>
  <c r="J65" i="7"/>
  <c r="K65" i="7"/>
  <c r="P64" i="7"/>
  <c r="T64" i="7" s="1"/>
  <c r="M65" i="7"/>
  <c r="P8" i="7"/>
  <c r="T8" i="7" s="1"/>
  <c r="M10" i="7"/>
  <c r="D3" i="8"/>
  <c r="L3" i="8"/>
  <c r="K6" i="8"/>
  <c r="I6" i="8"/>
  <c r="H6" i="8"/>
  <c r="O6" i="8"/>
  <c r="J7" i="8"/>
  <c r="E8" i="8"/>
  <c r="L8" i="8"/>
  <c r="L13" i="9"/>
  <c r="M12" i="9"/>
  <c r="N52" i="7"/>
  <c r="G52" i="7"/>
  <c r="F53" i="7"/>
  <c r="K54" i="7"/>
  <c r="C54" i="7"/>
  <c r="E54" i="7" s="1"/>
  <c r="I55" i="7"/>
  <c r="J66" i="7"/>
  <c r="N63" i="7"/>
  <c r="F66" i="7"/>
  <c r="G66" i="7"/>
  <c r="C65" i="7"/>
  <c r="E65" i="7" s="1"/>
  <c r="I66" i="7"/>
  <c r="I11" i="7"/>
  <c r="F3" i="8"/>
  <c r="M3" i="8"/>
  <c r="O5" i="8"/>
  <c r="M5" i="8"/>
  <c r="L5" i="8"/>
  <c r="G6" i="8"/>
  <c r="N6" i="8"/>
  <c r="I7" i="8"/>
  <c r="D8" i="8"/>
  <c r="L12" i="9"/>
  <c r="M10" i="9"/>
  <c r="M52" i="7"/>
  <c r="C53" i="7"/>
  <c r="E53" i="7" s="1"/>
  <c r="O52" i="7"/>
  <c r="N53" i="7"/>
  <c r="G55" i="7"/>
  <c r="L54" i="7"/>
  <c r="O65" i="7"/>
  <c r="K64" i="7"/>
  <c r="C64" i="7"/>
  <c r="E64" i="7" s="1"/>
  <c r="N66" i="7"/>
  <c r="O66" i="7"/>
  <c r="L65" i="7"/>
  <c r="K10" i="7"/>
  <c r="C10" i="7"/>
  <c r="E10" i="7" s="1"/>
  <c r="C8" i="8"/>
  <c r="E3" i="8"/>
  <c r="N3" i="8"/>
  <c r="G5" i="8"/>
  <c r="E5" i="8"/>
  <c r="D5" i="8"/>
  <c r="K5" i="8"/>
  <c r="F6" i="8"/>
  <c r="M6" i="8"/>
  <c r="H7" i="8"/>
  <c r="L10" i="9"/>
  <c r="M7" i="9"/>
  <c r="K53" i="7"/>
  <c r="L53" i="7"/>
  <c r="M53" i="7"/>
  <c r="J54" i="7"/>
  <c r="O55" i="7"/>
  <c r="H55" i="7"/>
  <c r="H65" i="7"/>
  <c r="K66" i="7"/>
  <c r="P65" i="7"/>
  <c r="T65" i="7" s="1"/>
  <c r="G65" i="7"/>
  <c r="M63" i="7"/>
  <c r="H66" i="7"/>
  <c r="O8" i="7"/>
  <c r="J10" i="7"/>
  <c r="G11" i="7"/>
  <c r="L10" i="7"/>
  <c r="C7" i="8"/>
  <c r="G3" i="8"/>
  <c r="O3" i="8"/>
  <c r="K4" i="8"/>
  <c r="I4" i="8"/>
  <c r="H4" i="8"/>
  <c r="O4" i="8"/>
  <c r="J5" i="8"/>
  <c r="E6" i="8"/>
  <c r="L6" i="8"/>
  <c r="L9" i="9"/>
  <c r="L6" i="9"/>
  <c r="I54" i="7"/>
  <c r="J53" i="7"/>
  <c r="C63" i="7"/>
  <c r="E63" i="7" s="1"/>
  <c r="H63" i="7"/>
  <c r="C66" i="7"/>
  <c r="E66" i="7" s="1"/>
  <c r="P66" i="7"/>
  <c r="Q66" i="7" s="1"/>
  <c r="J8" i="8"/>
  <c r="F7" i="8"/>
  <c r="H54" i="7"/>
  <c r="F55" i="7"/>
  <c r="P55" i="7"/>
  <c r="Q55" i="7" s="1"/>
  <c r="G63" i="7"/>
  <c r="L64" i="7"/>
  <c r="O54" i="7"/>
  <c r="P54" i="7"/>
  <c r="R54" i="7" s="1"/>
  <c r="M55" i="7"/>
  <c r="N55" i="7"/>
  <c r="F54" i="7"/>
  <c r="J55" i="7"/>
  <c r="L63" i="7"/>
  <c r="O63" i="7"/>
  <c r="P63" i="7"/>
  <c r="Q63" i="7" s="1"/>
  <c r="I63" i="7"/>
  <c r="L66" i="7"/>
  <c r="F63" i="7"/>
  <c r="F10" i="7"/>
  <c r="P10" i="7"/>
  <c r="S10" i="7" s="1"/>
  <c r="I10" i="7"/>
  <c r="N11" i="7"/>
  <c r="M8" i="7"/>
  <c r="P11" i="7"/>
  <c r="I3" i="8"/>
  <c r="K8" i="8"/>
  <c r="I8" i="8"/>
  <c r="H8" i="8"/>
  <c r="O8" i="8"/>
  <c r="F5" i="8"/>
  <c r="F4" i="8"/>
  <c r="M4" i="8"/>
  <c r="H5" i="8"/>
  <c r="J64" i="7"/>
  <c r="M64" i="7"/>
  <c r="F64" i="7"/>
  <c r="G64" i="7"/>
  <c r="J63" i="7"/>
  <c r="K63" i="7"/>
  <c r="O7" i="8"/>
  <c r="M7" i="8"/>
  <c r="L7" i="8"/>
  <c r="G8" i="8"/>
  <c r="N8" i="8"/>
  <c r="H10" i="9"/>
  <c r="H12" i="9"/>
  <c r="H8" i="9"/>
  <c r="I7" i="9"/>
  <c r="H9" i="9"/>
  <c r="I6" i="9"/>
  <c r="H13" i="9"/>
  <c r="I10" i="9"/>
  <c r="H7" i="9"/>
  <c r="H6" i="9"/>
  <c r="H11" i="9"/>
  <c r="I12" i="9"/>
  <c r="T44" i="7" l="1"/>
  <c r="R44" i="7"/>
  <c r="Q44" i="7"/>
  <c r="V44" i="7"/>
  <c r="Q32" i="7"/>
  <c r="S32" i="7"/>
  <c r="V32" i="7"/>
  <c r="R32" i="7"/>
  <c r="T32" i="7"/>
  <c r="S44" i="7"/>
  <c r="V52" i="7"/>
  <c r="V30" i="7"/>
  <c r="T30" i="7"/>
  <c r="R8" i="7"/>
  <c r="U30" i="7"/>
  <c r="S30" i="7"/>
  <c r="V64" i="7"/>
  <c r="C8" i="14" a="1"/>
  <c r="C8" i="15" a="1"/>
  <c r="C8" i="16" a="1"/>
  <c r="C8" i="13" a="1"/>
  <c r="C8" i="12" a="1"/>
  <c r="T9" i="7"/>
  <c r="R52" i="7"/>
  <c r="S64" i="7"/>
  <c r="R53" i="7"/>
  <c r="S9" i="7"/>
  <c r="U9" i="7"/>
  <c r="Q8" i="7"/>
  <c r="U53" i="7"/>
  <c r="R9" i="7"/>
  <c r="R66" i="7"/>
  <c r="U21" i="7"/>
  <c r="U8" i="7"/>
  <c r="Q53" i="7"/>
  <c r="S66" i="7"/>
  <c r="S63" i="7"/>
  <c r="V9" i="7"/>
  <c r="Q30" i="7"/>
  <c r="T53" i="7"/>
  <c r="V21" i="7"/>
  <c r="V8" i="7"/>
  <c r="V65" i="7"/>
  <c r="S65" i="7"/>
  <c r="R63" i="7"/>
  <c r="S53" i="7"/>
  <c r="U66" i="7"/>
  <c r="S8" i="7"/>
  <c r="V66" i="7"/>
  <c r="U63" i="7"/>
  <c r="T66" i="7"/>
  <c r="V63" i="7"/>
  <c r="U20" i="7"/>
  <c r="R22" i="7"/>
  <c r="Q43" i="7"/>
  <c r="R43" i="7"/>
  <c r="T43" i="7"/>
  <c r="V43" i="7"/>
  <c r="S43" i="7"/>
  <c r="S42" i="7"/>
  <c r="R42" i="7"/>
  <c r="Q42" i="7"/>
  <c r="U31" i="7"/>
  <c r="T33" i="7"/>
  <c r="R7" i="8"/>
  <c r="S55" i="7"/>
  <c r="V20" i="7"/>
  <c r="AC21" i="7"/>
  <c r="T55" i="7"/>
  <c r="Q20" i="7"/>
  <c r="S22" i="7"/>
  <c r="U42" i="7"/>
  <c r="AC41" i="7"/>
  <c r="U55" i="7"/>
  <c r="T22" i="7"/>
  <c r="V55" i="7"/>
  <c r="S20" i="7"/>
  <c r="R21" i="7"/>
  <c r="U22" i="7"/>
  <c r="R55" i="7"/>
  <c r="Q21" i="7"/>
  <c r="Q10" i="7"/>
  <c r="V42" i="7"/>
  <c r="R20" i="7"/>
  <c r="S21" i="7"/>
  <c r="V22" i="7"/>
  <c r="Q31" i="7"/>
  <c r="V33" i="7"/>
  <c r="R41" i="7"/>
  <c r="U41" i="7"/>
  <c r="T41" i="7"/>
  <c r="AC43" i="7"/>
  <c r="U65" i="7"/>
  <c r="S33" i="7"/>
  <c r="Q41" i="7"/>
  <c r="V41" i="7"/>
  <c r="AC44" i="7"/>
  <c r="AC31" i="7"/>
  <c r="U33" i="7"/>
  <c r="AC42" i="7"/>
  <c r="Q65" i="7"/>
  <c r="R33" i="7"/>
  <c r="R65" i="7"/>
  <c r="S41" i="7"/>
  <c r="V10" i="7"/>
  <c r="AC11" i="7"/>
  <c r="R10" i="7"/>
  <c r="T10" i="7"/>
  <c r="AC8" i="7"/>
  <c r="U10" i="7"/>
  <c r="T7" i="8"/>
  <c r="AC55" i="7"/>
  <c r="AC20" i="7"/>
  <c r="S19" i="7"/>
  <c r="U19" i="7"/>
  <c r="S54" i="7"/>
  <c r="V54" i="7"/>
  <c r="AC19" i="7"/>
  <c r="AC10" i="7"/>
  <c r="R8" i="8"/>
  <c r="T19" i="7"/>
  <c r="V19" i="7"/>
  <c r="AC22" i="7"/>
  <c r="V11" i="7"/>
  <c r="Q19" i="7"/>
  <c r="U7" i="8"/>
  <c r="AC52" i="7"/>
  <c r="AD10" i="9"/>
  <c r="C18" i="10" s="1"/>
  <c r="N18" i="10" s="1"/>
  <c r="U8" i="8"/>
  <c r="R6" i="8"/>
  <c r="AC64" i="7"/>
  <c r="T6" i="8"/>
  <c r="S11" i="7"/>
  <c r="AD12" i="9"/>
  <c r="C26" i="10" s="1"/>
  <c r="N26" i="10" s="1"/>
  <c r="U3" i="8"/>
  <c r="P3" i="8"/>
  <c r="Q52" i="7"/>
  <c r="T54" i="7"/>
  <c r="Q64" i="7"/>
  <c r="AC66" i="7"/>
  <c r="V31" i="7"/>
  <c r="AC32" i="7"/>
  <c r="AC9" i="7"/>
  <c r="Q11" i="7"/>
  <c r="P7" i="8"/>
  <c r="R3" i="8"/>
  <c r="Q4" i="8"/>
  <c r="AC63" i="7"/>
  <c r="AC53" i="7"/>
  <c r="T52" i="7"/>
  <c r="U54" i="7"/>
  <c r="R31" i="7"/>
  <c r="P4" i="8"/>
  <c r="U4" i="8"/>
  <c r="P6" i="8"/>
  <c r="U6" i="8"/>
  <c r="S52" i="7"/>
  <c r="R64" i="7"/>
  <c r="AC65" i="7"/>
  <c r="T11" i="7"/>
  <c r="P5" i="8"/>
  <c r="T8" i="8"/>
  <c r="U5" i="8"/>
  <c r="T5" i="8"/>
  <c r="AC54" i="7"/>
  <c r="R11" i="7"/>
  <c r="Q54" i="7"/>
  <c r="U64" i="7"/>
  <c r="S31" i="7"/>
  <c r="AC30" i="7"/>
  <c r="AC33" i="7"/>
  <c r="U11" i="7"/>
  <c r="P8" i="8"/>
  <c r="T4" i="8"/>
  <c r="R5" i="8"/>
  <c r="AH6" i="9"/>
  <c r="G34" i="10" s="1"/>
  <c r="N35" i="10" s="1"/>
  <c r="AD9" i="9"/>
  <c r="C6" i="10" s="1"/>
  <c r="N6" i="10" s="1"/>
  <c r="AH7" i="9"/>
  <c r="G10" i="10" s="1"/>
  <c r="N11" i="10" s="1"/>
  <c r="AD8" i="9"/>
  <c r="C30" i="10" s="1"/>
  <c r="N30" i="10" s="1"/>
  <c r="T3" i="8"/>
  <c r="S4" i="8"/>
  <c r="Q7" i="8"/>
  <c r="Q6" i="8"/>
  <c r="Q3" i="8"/>
  <c r="T63" i="7"/>
  <c r="V12" i="9"/>
  <c r="Y12" i="9" s="1"/>
  <c r="M20" i="9" s="1"/>
  <c r="AH12" i="9"/>
  <c r="G26" i="10" s="1"/>
  <c r="N27" i="10" s="1"/>
  <c r="AD11" i="9"/>
  <c r="C14" i="10" s="1"/>
  <c r="N14" i="10" s="1"/>
  <c r="AD6" i="9"/>
  <c r="C34" i="10" s="1"/>
  <c r="N34" i="10" s="1"/>
  <c r="V6" i="9"/>
  <c r="I19" i="9" s="1"/>
  <c r="V7" i="9"/>
  <c r="I18" i="9" s="1"/>
  <c r="AD7" i="9"/>
  <c r="C10" i="10" s="1"/>
  <c r="N10" i="10" s="1"/>
  <c r="V10" i="9"/>
  <c r="I17" i="9" s="1"/>
  <c r="AH10" i="9"/>
  <c r="G18" i="10" s="1"/>
  <c r="N19" i="10" s="1"/>
  <c r="AD13" i="9"/>
  <c r="C22" i="10" s="1"/>
  <c r="N22" i="10" s="1"/>
  <c r="S6" i="8"/>
  <c r="Q8" i="8"/>
  <c r="R4" i="8"/>
  <c r="S7" i="8"/>
  <c r="Q5" i="8"/>
  <c r="S3" i="8"/>
  <c r="S8" i="8"/>
  <c r="S5" i="8"/>
  <c r="AT8" i="7" a="1"/>
  <c r="AX11" i="7" s="1"/>
  <c r="W31" i="7" l="1"/>
  <c r="Z33" i="7"/>
  <c r="K11" i="14"/>
  <c r="C11" i="14"/>
  <c r="E10" i="14"/>
  <c r="G9" i="14"/>
  <c r="J8" i="14"/>
  <c r="C8" i="14"/>
  <c r="I9" i="14"/>
  <c r="J11" i="14"/>
  <c r="L10" i="14"/>
  <c r="D10" i="14"/>
  <c r="F9" i="14"/>
  <c r="I8" i="14"/>
  <c r="G10" i="14"/>
  <c r="I11" i="14"/>
  <c r="K10" i="14"/>
  <c r="C10" i="14"/>
  <c r="E9" i="14"/>
  <c r="H8" i="14"/>
  <c r="H11" i="14"/>
  <c r="J10" i="14"/>
  <c r="L9" i="14"/>
  <c r="D9" i="14"/>
  <c r="G8" i="14"/>
  <c r="E11" i="14"/>
  <c r="D8" i="14"/>
  <c r="G11" i="14"/>
  <c r="I10" i="14"/>
  <c r="K9" i="14"/>
  <c r="C9" i="14"/>
  <c r="F8" i="14"/>
  <c r="F11" i="14"/>
  <c r="H10" i="14"/>
  <c r="J9" i="14"/>
  <c r="E8" i="14"/>
  <c r="L8" i="14"/>
  <c r="L11" i="14"/>
  <c r="D11" i="14"/>
  <c r="F10" i="14"/>
  <c r="H9" i="14"/>
  <c r="K8" i="14"/>
  <c r="K11" i="15"/>
  <c r="C11" i="15"/>
  <c r="E10" i="15"/>
  <c r="G9" i="15"/>
  <c r="J8" i="15"/>
  <c r="C8" i="15"/>
  <c r="I9" i="15"/>
  <c r="L8" i="15"/>
  <c r="J11" i="15"/>
  <c r="L10" i="15"/>
  <c r="D10" i="15"/>
  <c r="F9" i="15"/>
  <c r="I8" i="15"/>
  <c r="G10" i="15"/>
  <c r="I11" i="15"/>
  <c r="K10" i="15"/>
  <c r="C10" i="15"/>
  <c r="E9" i="15"/>
  <c r="H8" i="15"/>
  <c r="E11" i="15"/>
  <c r="D8" i="15"/>
  <c r="H11" i="15"/>
  <c r="J10" i="15"/>
  <c r="L9" i="15"/>
  <c r="D9" i="15"/>
  <c r="G8" i="15"/>
  <c r="G11" i="15"/>
  <c r="I10" i="15"/>
  <c r="K9" i="15"/>
  <c r="C9" i="15"/>
  <c r="F8" i="15"/>
  <c r="F11" i="15"/>
  <c r="H10" i="15"/>
  <c r="J9" i="15"/>
  <c r="E8" i="15"/>
  <c r="L11" i="15"/>
  <c r="D11" i="15"/>
  <c r="F10" i="15"/>
  <c r="H9" i="15"/>
  <c r="K8" i="15"/>
  <c r="K11" i="16"/>
  <c r="C11" i="16"/>
  <c r="E10" i="16"/>
  <c r="G9" i="16"/>
  <c r="J8" i="16"/>
  <c r="C8" i="16"/>
  <c r="G10" i="16"/>
  <c r="D8" i="16"/>
  <c r="D11" i="16"/>
  <c r="K8" i="16"/>
  <c r="J11" i="16"/>
  <c r="L10" i="16"/>
  <c r="D10" i="16"/>
  <c r="F9" i="16"/>
  <c r="I8" i="16"/>
  <c r="I9" i="16"/>
  <c r="F10" i="16"/>
  <c r="I11" i="16"/>
  <c r="K10" i="16"/>
  <c r="C10" i="16"/>
  <c r="E9" i="16"/>
  <c r="H8" i="16"/>
  <c r="L8" i="16"/>
  <c r="H11" i="16"/>
  <c r="J10" i="16"/>
  <c r="L9" i="16"/>
  <c r="D9" i="16"/>
  <c r="G8" i="16"/>
  <c r="E11" i="16"/>
  <c r="G11" i="16"/>
  <c r="I10" i="16"/>
  <c r="K9" i="16"/>
  <c r="C9" i="16"/>
  <c r="F8" i="16"/>
  <c r="L11" i="16"/>
  <c r="F11" i="16"/>
  <c r="H10" i="16"/>
  <c r="J9" i="16"/>
  <c r="E8" i="16"/>
  <c r="H9" i="16"/>
  <c r="K11" i="13"/>
  <c r="C11" i="13"/>
  <c r="E10" i="13"/>
  <c r="G9" i="13"/>
  <c r="J8" i="13"/>
  <c r="C8" i="13"/>
  <c r="J11" i="13"/>
  <c r="L10" i="13"/>
  <c r="D10" i="13"/>
  <c r="F9" i="13"/>
  <c r="I8" i="13"/>
  <c r="E11" i="13"/>
  <c r="I11" i="13"/>
  <c r="K10" i="13"/>
  <c r="C10" i="13"/>
  <c r="E9" i="13"/>
  <c r="H8" i="13"/>
  <c r="H11" i="13"/>
  <c r="J10" i="13"/>
  <c r="L9" i="13"/>
  <c r="D9" i="13"/>
  <c r="G8" i="13"/>
  <c r="I9" i="13"/>
  <c r="G11" i="13"/>
  <c r="I10" i="13"/>
  <c r="K9" i="13"/>
  <c r="C9" i="13"/>
  <c r="F8" i="13"/>
  <c r="D8" i="13"/>
  <c r="F11" i="13"/>
  <c r="H10" i="13"/>
  <c r="J9" i="13"/>
  <c r="E8" i="13"/>
  <c r="L8" i="13"/>
  <c r="L11" i="13"/>
  <c r="D11" i="13"/>
  <c r="F10" i="13"/>
  <c r="H9" i="13"/>
  <c r="K8" i="13"/>
  <c r="G10" i="13"/>
  <c r="K11" i="12"/>
  <c r="C11" i="12"/>
  <c r="E10" i="12"/>
  <c r="G9" i="12"/>
  <c r="J8" i="12"/>
  <c r="C8" i="12"/>
  <c r="J11" i="12"/>
  <c r="L10" i="12"/>
  <c r="D10" i="12"/>
  <c r="F9" i="12"/>
  <c r="I8" i="12"/>
  <c r="I11" i="12"/>
  <c r="K10" i="12"/>
  <c r="C10" i="12"/>
  <c r="E9" i="12"/>
  <c r="H8" i="12"/>
  <c r="F10" i="12"/>
  <c r="H11" i="12"/>
  <c r="J10" i="12"/>
  <c r="L9" i="12"/>
  <c r="D9" i="12"/>
  <c r="G8" i="12"/>
  <c r="G11" i="12"/>
  <c r="I10" i="12"/>
  <c r="K9" i="12"/>
  <c r="C9" i="12"/>
  <c r="F8" i="12"/>
  <c r="D11" i="12"/>
  <c r="K8" i="12"/>
  <c r="F11" i="12"/>
  <c r="H10" i="12"/>
  <c r="J9" i="12"/>
  <c r="E8" i="12"/>
  <c r="L11" i="12"/>
  <c r="H9" i="12"/>
  <c r="E11" i="12"/>
  <c r="G10" i="12"/>
  <c r="I9" i="12"/>
  <c r="L8" i="12"/>
  <c r="D8" i="12"/>
  <c r="X54" i="7"/>
  <c r="W33" i="7"/>
  <c r="W32" i="7"/>
  <c r="W30" i="7"/>
  <c r="X53" i="7"/>
  <c r="Z32" i="7"/>
  <c r="Y64" i="7"/>
  <c r="Y66" i="7"/>
  <c r="Y63" i="7"/>
  <c r="Z65" i="7"/>
  <c r="Y65" i="7"/>
  <c r="AB63" i="7"/>
  <c r="Z30" i="7"/>
  <c r="X52" i="7"/>
  <c r="Z31" i="7"/>
  <c r="X42" i="7"/>
  <c r="X64" i="7"/>
  <c r="Y9" i="7"/>
  <c r="AB66" i="7"/>
  <c r="AB64" i="7"/>
  <c r="Z63" i="7"/>
  <c r="AB65" i="7"/>
  <c r="Z66" i="7"/>
  <c r="AB11" i="7"/>
  <c r="AA20" i="7"/>
  <c r="AA30" i="7"/>
  <c r="Z43" i="7"/>
  <c r="Z20" i="7"/>
  <c r="AA31" i="7"/>
  <c r="Y43" i="7"/>
  <c r="W11" i="7"/>
  <c r="B26" i="10"/>
  <c r="J26" i="10" s="1"/>
  <c r="P27" i="10" s="1"/>
  <c r="W53" i="7"/>
  <c r="AA55" i="7"/>
  <c r="I20" i="9"/>
  <c r="AH20" i="9" s="1"/>
  <c r="AA24" i="10" s="1"/>
  <c r="AH25" i="10" s="1"/>
  <c r="AB42" i="7"/>
  <c r="Y52" i="7"/>
  <c r="AB54" i="7"/>
  <c r="Z64" i="7"/>
  <c r="Y44" i="7"/>
  <c r="X10" i="7"/>
  <c r="X19" i="7"/>
  <c r="X43" i="7"/>
  <c r="X41" i="7"/>
  <c r="X44" i="7"/>
  <c r="Y20" i="7"/>
  <c r="Y33" i="7"/>
  <c r="AB21" i="7"/>
  <c r="W43" i="7"/>
  <c r="AB8" i="7"/>
  <c r="AA21" i="7"/>
  <c r="AA33" i="7"/>
  <c r="Z41" i="7"/>
  <c r="Y21" i="7"/>
  <c r="AB43" i="7"/>
  <c r="W22" i="7"/>
  <c r="W42" i="7"/>
  <c r="Y30" i="7"/>
  <c r="AB22" i="7"/>
  <c r="W41" i="7"/>
  <c r="X21" i="7"/>
  <c r="X22" i="7"/>
  <c r="X20" i="7"/>
  <c r="Z22" i="7"/>
  <c r="AB19" i="7"/>
  <c r="W44" i="7"/>
  <c r="X8" i="7"/>
  <c r="Z42" i="7"/>
  <c r="AA22" i="7"/>
  <c r="Z44" i="7"/>
  <c r="AA32" i="7"/>
  <c r="Z19" i="7"/>
  <c r="AB20" i="7"/>
  <c r="Y41" i="7"/>
  <c r="Z21" i="7"/>
  <c r="W9" i="7"/>
  <c r="AA19" i="7"/>
  <c r="X9" i="7"/>
  <c r="AB30" i="7"/>
  <c r="W66" i="7"/>
  <c r="Y22" i="7"/>
  <c r="AB41" i="7"/>
  <c r="Y54" i="7"/>
  <c r="AB52" i="7"/>
  <c r="AB9" i="7"/>
  <c r="AB10" i="7"/>
  <c r="AB53" i="7"/>
  <c r="AB55" i="7"/>
  <c r="Y19" i="7"/>
  <c r="AA66" i="7"/>
  <c r="Z11" i="7"/>
  <c r="AB33" i="7"/>
  <c r="AA41" i="7"/>
  <c r="AB32" i="7"/>
  <c r="V6" i="8"/>
  <c r="X6" i="8" s="1"/>
  <c r="Y42" i="7"/>
  <c r="AA43" i="7"/>
  <c r="Y55" i="7"/>
  <c r="W64" i="7"/>
  <c r="W20" i="7"/>
  <c r="Y10" i="7"/>
  <c r="W21" i="7"/>
  <c r="Z53" i="7"/>
  <c r="AA9" i="7"/>
  <c r="Y32" i="7"/>
  <c r="AA42" i="7"/>
  <c r="X55" i="7"/>
  <c r="Y53" i="7"/>
  <c r="W65" i="7"/>
  <c r="AB31" i="7"/>
  <c r="W19" i="7"/>
  <c r="AB44" i="7"/>
  <c r="Y8" i="7"/>
  <c r="Z8" i="7"/>
  <c r="AA44" i="7"/>
  <c r="W63" i="7"/>
  <c r="Y11" i="7"/>
  <c r="Y31" i="7"/>
  <c r="Z54" i="7"/>
  <c r="X66" i="7"/>
  <c r="Z52" i="7"/>
  <c r="AA10" i="7"/>
  <c r="AA8" i="7"/>
  <c r="Y6" i="9"/>
  <c r="M19" i="9" s="1"/>
  <c r="AH19" i="9" s="1"/>
  <c r="AA32" i="10" s="1"/>
  <c r="AH33" i="10" s="1"/>
  <c r="Z55" i="7"/>
  <c r="B34" i="10"/>
  <c r="I34" i="10" s="1"/>
  <c r="R35" i="10" s="1"/>
  <c r="X65" i="7"/>
  <c r="X63" i="7"/>
  <c r="AA11" i="7"/>
  <c r="X11" i="7"/>
  <c r="X33" i="7"/>
  <c r="Z10" i="7"/>
  <c r="W10" i="7"/>
  <c r="AA64" i="7"/>
  <c r="AA63" i="7"/>
  <c r="X32" i="7"/>
  <c r="V8" i="8"/>
  <c r="X8" i="8" s="1"/>
  <c r="AA65" i="7"/>
  <c r="X30" i="7"/>
  <c r="Z9" i="7"/>
  <c r="X31" i="7"/>
  <c r="W8" i="7"/>
  <c r="AA52" i="7"/>
  <c r="V3" i="8"/>
  <c r="V7" i="8"/>
  <c r="Y7" i="8" s="1"/>
  <c r="W54" i="7"/>
  <c r="V4" i="8"/>
  <c r="V5" i="8"/>
  <c r="Y5" i="8" s="1"/>
  <c r="AA54" i="7"/>
  <c r="W52" i="7"/>
  <c r="AA53" i="7"/>
  <c r="Y7" i="9"/>
  <c r="M18" i="9" s="1"/>
  <c r="AH18" i="9" s="1"/>
  <c r="AA8" i="10" s="1"/>
  <c r="AH9" i="10" s="1"/>
  <c r="B10" i="10"/>
  <c r="J10" i="10" s="1"/>
  <c r="P11" i="10" s="1"/>
  <c r="W55" i="7"/>
  <c r="Y10" i="9"/>
  <c r="M17" i="9" s="1"/>
  <c r="AH17" i="9" s="1"/>
  <c r="B18" i="10"/>
  <c r="F18" i="10" s="1"/>
  <c r="P18" i="10" s="1"/>
  <c r="AY9" i="7"/>
  <c r="BB9" i="7"/>
  <c r="BB10" i="7"/>
  <c r="AY11" i="7"/>
  <c r="AT10" i="7"/>
  <c r="AV9" i="7"/>
  <c r="BA8" i="7"/>
  <c r="AT9" i="7"/>
  <c r="AX10" i="7"/>
  <c r="AV11" i="7"/>
  <c r="AW8" i="7"/>
  <c r="AU10" i="7"/>
  <c r="AX9" i="7"/>
  <c r="BC11" i="7"/>
  <c r="BA9" i="7"/>
  <c r="AU9" i="7"/>
  <c r="BC10" i="7"/>
  <c r="AV10" i="7"/>
  <c r="AT8" i="7"/>
  <c r="AY10" i="7"/>
  <c r="BC9" i="7"/>
  <c r="BA11" i="7"/>
  <c r="AT11" i="7"/>
  <c r="BB8" i="7"/>
  <c r="AW11" i="7"/>
  <c r="BA10" i="7"/>
  <c r="AX8" i="7"/>
  <c r="BB11" i="7"/>
  <c r="AZ9" i="7"/>
  <c r="AV8" i="7"/>
  <c r="AY8" i="7"/>
  <c r="AZ11" i="7"/>
  <c r="AW10" i="7"/>
  <c r="AU8" i="7"/>
  <c r="AZ10" i="7"/>
  <c r="AW9" i="7"/>
  <c r="AZ8" i="7"/>
  <c r="AU11" i="7"/>
  <c r="BC8" i="7"/>
  <c r="AD31" i="7" l="1"/>
  <c r="AD30" i="7"/>
  <c r="AD52" i="7"/>
  <c r="AD54" i="7"/>
  <c r="AD42" i="7"/>
  <c r="AD43" i="7"/>
  <c r="AD44" i="7"/>
  <c r="AD10" i="7"/>
  <c r="AD32" i="7"/>
  <c r="AD22" i="7"/>
  <c r="AD11" i="7"/>
  <c r="AD8" i="7"/>
  <c r="AD21" i="7"/>
  <c r="AD19" i="7"/>
  <c r="AD20" i="7"/>
  <c r="AD9" i="7"/>
  <c r="AD41" i="7"/>
  <c r="AD33" i="7"/>
  <c r="Y6" i="8"/>
  <c r="AD53" i="7"/>
  <c r="E26" i="10"/>
  <c r="R26" i="10" s="1"/>
  <c r="F26" i="10"/>
  <c r="P26" i="10" s="1"/>
  <c r="D26" i="10"/>
  <c r="Q26" i="10" s="1"/>
  <c r="Y8" i="8"/>
  <c r="H26" i="10"/>
  <c r="Q27" i="10" s="1"/>
  <c r="X7" i="8"/>
  <c r="I26" i="10"/>
  <c r="R27" i="10" s="1"/>
  <c r="E34" i="10"/>
  <c r="R34" i="10" s="1"/>
  <c r="J34" i="10"/>
  <c r="P35" i="10" s="1"/>
  <c r="AD64" i="7"/>
  <c r="D34" i="10"/>
  <c r="F34" i="10"/>
  <c r="P34" i="10" s="1"/>
  <c r="H34" i="10"/>
  <c r="Q35" i="10" s="1"/>
  <c r="O35" i="10" s="1"/>
  <c r="AD55" i="7"/>
  <c r="AD66" i="7"/>
  <c r="W7" i="8"/>
  <c r="AQ9" i="8" s="1"/>
  <c r="AD65" i="7"/>
  <c r="AD63" i="7"/>
  <c r="X5" i="8"/>
  <c r="W8" i="8"/>
  <c r="AR11" i="8" s="1"/>
  <c r="H18" i="10"/>
  <c r="Q19" i="10" s="1"/>
  <c r="I18" i="10"/>
  <c r="R19" i="10" s="1"/>
  <c r="J18" i="10"/>
  <c r="P19" i="10" s="1"/>
  <c r="W4" i="8"/>
  <c r="AN17" i="8" s="1"/>
  <c r="D18" i="10"/>
  <c r="W5" i="8"/>
  <c r="AO9" i="8" s="1"/>
  <c r="E18" i="10"/>
  <c r="R18" i="10" s="1"/>
  <c r="Y3" i="8"/>
  <c r="Y4" i="8"/>
  <c r="X3" i="8"/>
  <c r="X4" i="8"/>
  <c r="W6" i="8"/>
  <c r="AP3" i="8" s="1"/>
  <c r="W3" i="8"/>
  <c r="AM5" i="8" s="1"/>
  <c r="E10" i="10"/>
  <c r="R10" i="10" s="1"/>
  <c r="F10" i="10"/>
  <c r="P10" i="10" s="1"/>
  <c r="H10" i="10"/>
  <c r="Q11" i="10" s="1"/>
  <c r="D10" i="10"/>
  <c r="I10" i="10"/>
  <c r="R11" i="10" s="1"/>
  <c r="AA16" i="10"/>
  <c r="AH17" i="10" s="1"/>
  <c r="M8" i="14" l="1" a="1"/>
  <c r="M11" i="14" s="1"/>
  <c r="M8" i="15" a="1"/>
  <c r="M8" i="16" a="1"/>
  <c r="M8" i="13" a="1"/>
  <c r="M8" i="12" a="1"/>
  <c r="BD8" i="7" a="1"/>
  <c r="BD9" i="7" s="1"/>
  <c r="AR14" i="8"/>
  <c r="AR7" i="8"/>
  <c r="AR3" i="8"/>
  <c r="O27" i="10"/>
  <c r="AR6" i="8"/>
  <c r="O26" i="10"/>
  <c r="AR12" i="8"/>
  <c r="AR4" i="8"/>
  <c r="AR16" i="8"/>
  <c r="AR10" i="8"/>
  <c r="AR8" i="8"/>
  <c r="S27" i="10"/>
  <c r="Q34" i="10"/>
  <c r="O34" i="10" s="1"/>
  <c r="CD34" i="10" s="1" a="1"/>
  <c r="CE34" i="10" s="1"/>
  <c r="S35" i="10"/>
  <c r="S34" i="10"/>
  <c r="S26" i="10"/>
  <c r="AO16" i="8"/>
  <c r="AO10" i="8"/>
  <c r="AO12" i="8"/>
  <c r="AO7" i="8"/>
  <c r="Q18" i="10"/>
  <c r="O18" i="10" s="1"/>
  <c r="S19" i="10"/>
  <c r="S18" i="10"/>
  <c r="S11" i="10"/>
  <c r="S10" i="10"/>
  <c r="AR15" i="8"/>
  <c r="AR13" i="8"/>
  <c r="AN16" i="8"/>
  <c r="AQ16" i="8"/>
  <c r="AN12" i="8"/>
  <c r="AQ15" i="8"/>
  <c r="AQ7" i="8"/>
  <c r="AQ3" i="8"/>
  <c r="AQ12" i="8"/>
  <c r="AN13" i="8"/>
  <c r="AQ11" i="8"/>
  <c r="AQ4" i="8"/>
  <c r="AN5" i="8"/>
  <c r="AN9" i="8"/>
  <c r="AQ6" i="8"/>
  <c r="AQ10" i="8"/>
  <c r="AP8" i="8"/>
  <c r="AN11" i="8"/>
  <c r="AN3" i="8"/>
  <c r="AQ8" i="8"/>
  <c r="AQ13" i="8"/>
  <c r="AP13" i="8"/>
  <c r="AN15" i="8"/>
  <c r="AN8" i="8"/>
  <c r="AQ17" i="8"/>
  <c r="AQ5" i="8"/>
  <c r="AN10" i="8"/>
  <c r="AN14" i="8"/>
  <c r="AQ14" i="8"/>
  <c r="AN4" i="8"/>
  <c r="AN7" i="8"/>
  <c r="AN6" i="8"/>
  <c r="Q10" i="10"/>
  <c r="O10" i="10" s="1"/>
  <c r="C77" i="7"/>
  <c r="Q77" i="7" s="1"/>
  <c r="K74" i="7"/>
  <c r="M74" i="7"/>
  <c r="K75" i="7"/>
  <c r="F77" i="7"/>
  <c r="G75" i="7"/>
  <c r="AA7" i="8"/>
  <c r="J77" i="7"/>
  <c r="O74" i="7"/>
  <c r="F74" i="7"/>
  <c r="AM8" i="8"/>
  <c r="N74" i="7"/>
  <c r="AM7" i="8"/>
  <c r="AR17" i="8"/>
  <c r="AR5" i="8"/>
  <c r="G77" i="7"/>
  <c r="AM4" i="8"/>
  <c r="AR9" i="8"/>
  <c r="Z6" i="8"/>
  <c r="AM16" i="8"/>
  <c r="AM12" i="8"/>
  <c r="C74" i="7"/>
  <c r="Q74" i="7" s="1"/>
  <c r="L74" i="7"/>
  <c r="N77" i="7"/>
  <c r="F75" i="7"/>
  <c r="AM15" i="8"/>
  <c r="AM3" i="8"/>
  <c r="AM11" i="8"/>
  <c r="I77" i="7"/>
  <c r="G74" i="7"/>
  <c r="M75" i="7"/>
  <c r="O76" i="7"/>
  <c r="AM17" i="8"/>
  <c r="AM6" i="8"/>
  <c r="O19" i="10"/>
  <c r="AM14" i="8"/>
  <c r="I74" i="7"/>
  <c r="H77" i="7"/>
  <c r="L77" i="7"/>
  <c r="AM9" i="8"/>
  <c r="AM13" i="8"/>
  <c r="H74" i="7"/>
  <c r="M77" i="7"/>
  <c r="J74" i="7"/>
  <c r="O77" i="7"/>
  <c r="K77" i="7"/>
  <c r="AM10" i="8"/>
  <c r="F78" i="7"/>
  <c r="I75" i="7"/>
  <c r="AO8" i="8"/>
  <c r="AO4" i="8"/>
  <c r="H79" i="7"/>
  <c r="N75" i="7"/>
  <c r="AO11" i="8"/>
  <c r="AO15" i="8"/>
  <c r="N78" i="7"/>
  <c r="J75" i="7"/>
  <c r="H75" i="7"/>
  <c r="Z4" i="8"/>
  <c r="AO14" i="8"/>
  <c r="AO3" i="8"/>
  <c r="L79" i="7"/>
  <c r="I78" i="7"/>
  <c r="Z5" i="8"/>
  <c r="AO6" i="8"/>
  <c r="L75" i="7"/>
  <c r="AO13" i="8"/>
  <c r="AO17" i="8"/>
  <c r="AA4" i="8"/>
  <c r="C75" i="7"/>
  <c r="O75" i="7"/>
  <c r="AO5" i="8"/>
  <c r="AA3" i="8"/>
  <c r="AA8" i="8"/>
  <c r="AA5" i="8"/>
  <c r="AA6" i="8"/>
  <c r="O11" i="10"/>
  <c r="N79" i="7"/>
  <c r="AP9" i="8"/>
  <c r="C76" i="7"/>
  <c r="K76" i="7"/>
  <c r="I76" i="7"/>
  <c r="H76" i="7"/>
  <c r="G76" i="7"/>
  <c r="O79" i="7"/>
  <c r="F79" i="7"/>
  <c r="Z7" i="8"/>
  <c r="AB7" i="8" s="1"/>
  <c r="AP5" i="8"/>
  <c r="AP12" i="8"/>
  <c r="G79" i="7"/>
  <c r="H78" i="7"/>
  <c r="Z8" i="8"/>
  <c r="AP16" i="8"/>
  <c r="AP4" i="8"/>
  <c r="J76" i="7"/>
  <c r="AP15" i="8"/>
  <c r="M79" i="7"/>
  <c r="K79" i="7"/>
  <c r="J79" i="7"/>
  <c r="I79" i="7"/>
  <c r="M76" i="7"/>
  <c r="Z3" i="8"/>
  <c r="AP14" i="8"/>
  <c r="AP7" i="8"/>
  <c r="J78" i="7"/>
  <c r="L76" i="7"/>
  <c r="AP11" i="8"/>
  <c r="M78" i="7"/>
  <c r="L78" i="7"/>
  <c r="K78" i="7"/>
  <c r="N76" i="7"/>
  <c r="AP6" i="8"/>
  <c r="AP10" i="8"/>
  <c r="C79" i="7"/>
  <c r="Q79" i="7" s="1"/>
  <c r="O78" i="7"/>
  <c r="C78" i="7"/>
  <c r="Q78" i="7" s="1"/>
  <c r="G78" i="7"/>
  <c r="F76" i="7"/>
  <c r="AP17" i="8"/>
  <c r="M9" i="14" l="1"/>
  <c r="M10" i="14"/>
  <c r="M8" i="14"/>
  <c r="M10" i="15"/>
  <c r="M9" i="15"/>
  <c r="M11" i="15"/>
  <c r="M8" i="15"/>
  <c r="M10" i="16"/>
  <c r="M9" i="16"/>
  <c r="M11" i="16"/>
  <c r="M8" i="16"/>
  <c r="M10" i="13"/>
  <c r="M9" i="13"/>
  <c r="M11" i="13"/>
  <c r="M8" i="13"/>
  <c r="M10" i="12"/>
  <c r="M9" i="12"/>
  <c r="M8" i="12"/>
  <c r="M11" i="12"/>
  <c r="BD11" i="7"/>
  <c r="BD8" i="7"/>
  <c r="BD10" i="7"/>
  <c r="AB8" i="8"/>
  <c r="AB4" i="8"/>
  <c r="AB5" i="8"/>
  <c r="AB6" i="8"/>
  <c r="AB3" i="8"/>
  <c r="CD26" i="10" a="1"/>
  <c r="CE27" i="10" s="1"/>
  <c r="E77" i="7"/>
  <c r="AS5" i="8"/>
  <c r="AS16" i="8"/>
  <c r="AS3" i="8"/>
  <c r="CD18" i="10" a="1"/>
  <c r="CE19" i="10" s="1"/>
  <c r="AS12" i="8"/>
  <c r="AS7" i="8"/>
  <c r="AS10" i="8"/>
  <c r="AS8" i="8"/>
  <c r="E74" i="7"/>
  <c r="AS13" i="8"/>
  <c r="E79" i="7"/>
  <c r="AS4" i="8"/>
  <c r="AS9" i="8"/>
  <c r="AS6" i="8"/>
  <c r="AE10" i="7"/>
  <c r="AS11" i="8"/>
  <c r="E78" i="7"/>
  <c r="AE66" i="7"/>
  <c r="F80" i="7"/>
  <c r="I9" i="9" s="1"/>
  <c r="V9" i="9" s="1"/>
  <c r="B6" i="10" s="1"/>
  <c r="AS14" i="8"/>
  <c r="Q75" i="7"/>
  <c r="CD10" i="10" a="1"/>
  <c r="CD10" i="10" s="1"/>
  <c r="E75" i="7"/>
  <c r="AS17" i="8"/>
  <c r="AS15" i="8"/>
  <c r="AE54" i="7"/>
  <c r="AE20" i="7"/>
  <c r="AE30" i="7"/>
  <c r="AE63" i="7"/>
  <c r="AE44" i="7"/>
  <c r="Q76" i="7"/>
  <c r="AE52" i="7"/>
  <c r="AE55" i="7"/>
  <c r="AE33" i="7"/>
  <c r="E76" i="7"/>
  <c r="AE11" i="7"/>
  <c r="AE21" i="7"/>
  <c r="AE42" i="7"/>
  <c r="AE64" i="7"/>
  <c r="AE22" i="7"/>
  <c r="AE43" i="7"/>
  <c r="AE65" i="7"/>
  <c r="AE9" i="7"/>
  <c r="AE31" i="7"/>
  <c r="AE53" i="7"/>
  <c r="AE8" i="7"/>
  <c r="AE32" i="7"/>
  <c r="AE19" i="7"/>
  <c r="AE41" i="7"/>
  <c r="CF35" i="10"/>
  <c r="CD34" i="10"/>
  <c r="CF34" i="10"/>
  <c r="CD35" i="10"/>
  <c r="CE35" i="10"/>
  <c r="P78" i="7" l="1"/>
  <c r="P77" i="7"/>
  <c r="P74" i="7"/>
  <c r="P75" i="7"/>
  <c r="P76" i="7"/>
  <c r="P79" i="7"/>
  <c r="D8" i="17" a="1"/>
  <c r="CE26" i="10"/>
  <c r="CD27" i="10"/>
  <c r="CF27" i="10"/>
  <c r="CF26" i="10"/>
  <c r="CD26" i="10"/>
  <c r="CD19" i="10"/>
  <c r="CF18" i="10"/>
  <c r="I8" i="9"/>
  <c r="V8" i="9" s="1"/>
  <c r="B30" i="10" s="1"/>
  <c r="J30" i="10" s="1"/>
  <c r="P31" i="10" s="1"/>
  <c r="CF19" i="10"/>
  <c r="CE18" i="10"/>
  <c r="CD18" i="10"/>
  <c r="F8" i="9"/>
  <c r="K8" i="9" s="1"/>
  <c r="F13" i="9"/>
  <c r="K13" i="9" s="1"/>
  <c r="F11" i="9"/>
  <c r="K11" i="9" s="1"/>
  <c r="F9" i="9"/>
  <c r="K9" i="9" s="1"/>
  <c r="CE11" i="10"/>
  <c r="CE10" i="10"/>
  <c r="Q80" i="7"/>
  <c r="CF10" i="10"/>
  <c r="CF11" i="10"/>
  <c r="I13" i="9"/>
  <c r="V13" i="9" s="1"/>
  <c r="B22" i="10" s="1"/>
  <c r="CD11" i="10"/>
  <c r="I11" i="9"/>
  <c r="V11" i="9" s="1"/>
  <c r="B14" i="10" s="1"/>
  <c r="H14" i="10" s="1"/>
  <c r="Q15" i="10" s="1"/>
  <c r="H18" i="9"/>
  <c r="V18" i="9" s="1"/>
  <c r="M8" i="17" l="1" a="1"/>
  <c r="M10" i="17" s="1"/>
  <c r="E13" i="17"/>
  <c r="H12" i="17"/>
  <c r="K11" i="17"/>
  <c r="F10" i="17"/>
  <c r="I9" i="17"/>
  <c r="E8" i="17"/>
  <c r="L13" i="17"/>
  <c r="D13" i="17"/>
  <c r="G12" i="17"/>
  <c r="J11" i="17"/>
  <c r="E10" i="17"/>
  <c r="H9" i="17"/>
  <c r="L8" i="17"/>
  <c r="K13" i="17"/>
  <c r="F12" i="17"/>
  <c r="I11" i="17"/>
  <c r="L10" i="17"/>
  <c r="D10" i="17"/>
  <c r="G9" i="17"/>
  <c r="K8" i="17"/>
  <c r="D8" i="17"/>
  <c r="J13" i="17"/>
  <c r="E12" i="17"/>
  <c r="H11" i="17"/>
  <c r="K10" i="17"/>
  <c r="F9" i="17"/>
  <c r="J8" i="17"/>
  <c r="I13" i="17"/>
  <c r="L12" i="17"/>
  <c r="D12" i="17"/>
  <c r="G11" i="17"/>
  <c r="J10" i="17"/>
  <c r="E9" i="17"/>
  <c r="I8" i="17"/>
  <c r="G13" i="17"/>
  <c r="E11" i="17"/>
  <c r="K9" i="17"/>
  <c r="G8" i="17"/>
  <c r="H13" i="17"/>
  <c r="K12" i="17"/>
  <c r="F11" i="17"/>
  <c r="I10" i="17"/>
  <c r="L9" i="17"/>
  <c r="D9" i="17"/>
  <c r="H8" i="17"/>
  <c r="J12" i="17"/>
  <c r="H10" i="17"/>
  <c r="F13" i="17"/>
  <c r="I12" i="17"/>
  <c r="L11" i="17"/>
  <c r="D11" i="17"/>
  <c r="G10" i="17"/>
  <c r="J9" i="17"/>
  <c r="F8" i="17"/>
  <c r="H19" i="9"/>
  <c r="V19" i="9" s="1"/>
  <c r="V32" i="10" s="1"/>
  <c r="AB32" i="10" s="1"/>
  <c r="AK33" i="10" s="1"/>
  <c r="D30" i="10"/>
  <c r="Q30" i="10" s="1"/>
  <c r="E30" i="10"/>
  <c r="R30" i="10" s="1"/>
  <c r="F30" i="10"/>
  <c r="P30" i="10" s="1"/>
  <c r="M11" i="9"/>
  <c r="AH11" i="9" s="1"/>
  <c r="G14" i="10" s="1"/>
  <c r="N15" i="10" s="1"/>
  <c r="H30" i="10"/>
  <c r="Q31" i="10" s="1"/>
  <c r="I30" i="10"/>
  <c r="R31" i="10" s="1"/>
  <c r="M8" i="9"/>
  <c r="Y8" i="9" s="1"/>
  <c r="L19" i="9" s="1"/>
  <c r="M13" i="9"/>
  <c r="Y13" i="9" s="1"/>
  <c r="L20" i="9" s="1"/>
  <c r="H20" i="9"/>
  <c r="V20" i="9" s="1"/>
  <c r="V24" i="10" s="1"/>
  <c r="AC24" i="10" s="1"/>
  <c r="AL25" i="10" s="1"/>
  <c r="M9" i="9"/>
  <c r="AH9" i="9" s="1"/>
  <c r="G6" i="10" s="1"/>
  <c r="N7" i="10" s="1"/>
  <c r="Y11" i="9"/>
  <c r="L17" i="9" s="1"/>
  <c r="H17" i="9"/>
  <c r="V17" i="9" s="1"/>
  <c r="V16" i="10" s="1"/>
  <c r="X16" i="10" s="1"/>
  <c r="H24" i="9"/>
  <c r="I14" i="10"/>
  <c r="R15" i="10" s="1"/>
  <c r="O15" i="10" s="1"/>
  <c r="E14" i="10"/>
  <c r="R14" i="10" s="1"/>
  <c r="F14" i="10"/>
  <c r="P14" i="10" s="1"/>
  <c r="J14" i="10"/>
  <c r="P15" i="10" s="1"/>
  <c r="D14" i="10"/>
  <c r="V8" i="10"/>
  <c r="AD8" i="10" s="1"/>
  <c r="J22" i="10"/>
  <c r="P23" i="10" s="1"/>
  <c r="I22" i="10"/>
  <c r="R23" i="10" s="1"/>
  <c r="H22" i="10"/>
  <c r="Q23" i="10" s="1"/>
  <c r="F22" i="10"/>
  <c r="P22" i="10" s="1"/>
  <c r="E22" i="10"/>
  <c r="R22" i="10" s="1"/>
  <c r="D22" i="10"/>
  <c r="I6" i="10"/>
  <c r="R7" i="10" s="1"/>
  <c r="J6" i="10"/>
  <c r="P7" i="10" s="1"/>
  <c r="F6" i="10"/>
  <c r="P6" i="10" s="1"/>
  <c r="H6" i="10"/>
  <c r="Q7" i="10" s="1"/>
  <c r="D6" i="10"/>
  <c r="E6" i="10"/>
  <c r="M13" i="17" l="1"/>
  <c r="M8" i="17"/>
  <c r="M11" i="17"/>
  <c r="M9" i="17"/>
  <c r="M12" i="17"/>
  <c r="AC32" i="10"/>
  <c r="AL33" i="10" s="1"/>
  <c r="AI33" i="10" s="1"/>
  <c r="I25" i="9"/>
  <c r="AD32" i="10"/>
  <c r="AJ33" i="10" s="1"/>
  <c r="X32" i="10"/>
  <c r="AK32" i="10" s="1"/>
  <c r="Y32" i="10"/>
  <c r="AL32" i="10" s="1"/>
  <c r="Z32" i="10"/>
  <c r="AJ32" i="10" s="1"/>
  <c r="AH8" i="9"/>
  <c r="G30" i="10" s="1"/>
  <c r="N31" i="10" s="1"/>
  <c r="O31" i="10"/>
  <c r="AK16" i="10"/>
  <c r="O30" i="10"/>
  <c r="S30" i="10"/>
  <c r="S31" i="10"/>
  <c r="Y9" i="9"/>
  <c r="L18" i="9" s="1"/>
  <c r="Y18" i="9" s="1"/>
  <c r="L24" i="9" s="1"/>
  <c r="Q22" i="10"/>
  <c r="O22" i="10" s="1"/>
  <c r="S23" i="10"/>
  <c r="S22" i="10"/>
  <c r="H25" i="9"/>
  <c r="AD20" i="9"/>
  <c r="W24" i="10" s="1"/>
  <c r="AH24" i="10" s="1"/>
  <c r="AH13" i="9"/>
  <c r="G22" i="10" s="1"/>
  <c r="N23" i="10" s="1"/>
  <c r="Q14" i="10"/>
  <c r="O14" i="10" s="1"/>
  <c r="CD14" i="10" s="1" a="1"/>
  <c r="CD15" i="10" s="1"/>
  <c r="S15" i="10"/>
  <c r="S14" i="10"/>
  <c r="S6" i="10"/>
  <c r="X24" i="10"/>
  <c r="Y20" i="9"/>
  <c r="L25" i="9" s="1"/>
  <c r="Z24" i="10"/>
  <c r="AJ24" i="10" s="1"/>
  <c r="Y24" i="10"/>
  <c r="AL24" i="10" s="1"/>
  <c r="AB24" i="10"/>
  <c r="AK25" i="10" s="1"/>
  <c r="AI25" i="10" s="1"/>
  <c r="AD24" i="10"/>
  <c r="AJ25" i="10" s="1"/>
  <c r="S7" i="10"/>
  <c r="AD17" i="9"/>
  <c r="W16" i="10" s="1"/>
  <c r="AH16" i="10" s="1"/>
  <c r="R6" i="10"/>
  <c r="Q6" i="10"/>
  <c r="Y17" i="9"/>
  <c r="M24" i="9" s="1"/>
  <c r="AD16" i="10"/>
  <c r="AJ17" i="10" s="1"/>
  <c r="I24" i="9"/>
  <c r="Y16" i="10"/>
  <c r="AL16" i="10" s="1"/>
  <c r="Z16" i="10"/>
  <c r="AJ16" i="10" s="1"/>
  <c r="AB16" i="10"/>
  <c r="AK17" i="10" s="1"/>
  <c r="AC16" i="10"/>
  <c r="AL17" i="10" s="1"/>
  <c r="AJ9" i="10"/>
  <c r="AC8" i="10"/>
  <c r="AL9" i="10" s="1"/>
  <c r="AB8" i="10"/>
  <c r="AK9" i="10" s="1"/>
  <c r="X8" i="10"/>
  <c r="Z8" i="10"/>
  <c r="AJ8" i="10" s="1"/>
  <c r="Y8" i="10"/>
  <c r="AL8" i="10" s="1"/>
  <c r="O7" i="10"/>
  <c r="O23" i="10"/>
  <c r="AD19" i="9"/>
  <c r="Y19" i="9"/>
  <c r="M25" i="9" s="1"/>
  <c r="AD18" i="9" l="1"/>
  <c r="W8" i="10" s="1"/>
  <c r="AH8" i="10" s="1"/>
  <c r="AH25" i="9"/>
  <c r="AU28" i="10" s="1"/>
  <c r="BB29" i="10" s="1"/>
  <c r="AI32" i="10"/>
  <c r="AM32" i="10"/>
  <c r="AM33" i="10"/>
  <c r="AI16" i="10"/>
  <c r="AD25" i="9"/>
  <c r="AQ28" i="10" s="1"/>
  <c r="BB28" i="10" s="1"/>
  <c r="AK24" i="10"/>
  <c r="AI24" i="10" s="1"/>
  <c r="CJ24" i="10" s="1" a="1"/>
  <c r="CK24" i="10" s="1"/>
  <c r="AM25" i="10"/>
  <c r="AM24" i="10"/>
  <c r="V25" i="9"/>
  <c r="I29" i="9" s="1"/>
  <c r="AM16" i="10"/>
  <c r="AM17" i="10"/>
  <c r="AK8" i="10"/>
  <c r="AI8" i="10" s="1"/>
  <c r="AM9" i="10"/>
  <c r="AM8" i="10"/>
  <c r="O6" i="10"/>
  <c r="CD6" i="10" s="1" a="1"/>
  <c r="AD24" i="9"/>
  <c r="AQ12" i="10" s="1"/>
  <c r="BB12" i="10" s="1"/>
  <c r="AH24" i="9"/>
  <c r="AU12" i="10" s="1"/>
  <c r="BB13" i="10" s="1"/>
  <c r="V24" i="9"/>
  <c r="AI17" i="10"/>
  <c r="W32" i="10"/>
  <c r="AH32" i="10" s="1"/>
  <c r="AI9" i="10"/>
  <c r="CF14" i="10"/>
  <c r="CE15" i="10"/>
  <c r="CF15" i="10"/>
  <c r="CD14" i="10"/>
  <c r="CE14" i="10"/>
  <c r="CD30" i="10" a="1"/>
  <c r="CD31" i="10" s="1"/>
  <c r="CD22" i="10" a="1"/>
  <c r="CD23" i="10" s="1"/>
  <c r="CJ16" i="10" l="1" a="1"/>
  <c r="CL17" i="10" s="1"/>
  <c r="CJ32" i="10" a="1"/>
  <c r="CL32" i="10" s="1"/>
  <c r="Y25" i="9"/>
  <c r="M29" i="9" s="1"/>
  <c r="AH29" i="9" s="1"/>
  <c r="BO20" i="10" s="1"/>
  <c r="BV21" i="10" s="1"/>
  <c r="AP12" i="10"/>
  <c r="AX12" i="10" s="1"/>
  <c r="BD13" i="10" s="1"/>
  <c r="AP28" i="10"/>
  <c r="Y24" i="9"/>
  <c r="L29" i="9" s="1"/>
  <c r="H29" i="9"/>
  <c r="V29" i="9" s="1"/>
  <c r="CJ8" i="10" a="1"/>
  <c r="CL9" i="10" s="1"/>
  <c r="CJ24" i="10"/>
  <c r="CJ25" i="10"/>
  <c r="CL24" i="10"/>
  <c r="CL25" i="10"/>
  <c r="CK25" i="10"/>
  <c r="CF7" i="10"/>
  <c r="CD7" i="10"/>
  <c r="CE7" i="10"/>
  <c r="CF6" i="10"/>
  <c r="CD6" i="10"/>
  <c r="CE6" i="10"/>
  <c r="CE22" i="10"/>
  <c r="CD22" i="10"/>
  <c r="CF22" i="10"/>
  <c r="CE23" i="10"/>
  <c r="CF23" i="10"/>
  <c r="CF31" i="10"/>
  <c r="CE31" i="10"/>
  <c r="CF30" i="10"/>
  <c r="CE30" i="10"/>
  <c r="CD30" i="10"/>
  <c r="CJ16" i="10" l="1"/>
  <c r="CK17" i="10"/>
  <c r="CK16" i="10"/>
  <c r="CJ17" i="10"/>
  <c r="CL16" i="10"/>
  <c r="CK33" i="10"/>
  <c r="CK32" i="10"/>
  <c r="CL33" i="10"/>
  <c r="CJ32" i="10"/>
  <c r="CJ33" i="10"/>
  <c r="Y29" i="9"/>
  <c r="BJ20" i="10"/>
  <c r="AS12" i="10"/>
  <c r="BF12" i="10" s="1"/>
  <c r="AR12" i="10"/>
  <c r="AW12" i="10"/>
  <c r="BF13" i="10" s="1"/>
  <c r="AT12" i="10"/>
  <c r="BD12" i="10" s="1"/>
  <c r="AV12" i="10"/>
  <c r="BE13" i="10" s="1"/>
  <c r="AR28" i="10"/>
  <c r="AS28" i="10"/>
  <c r="BF28" i="10" s="1"/>
  <c r="AX28" i="10"/>
  <c r="BD29" i="10" s="1"/>
  <c r="AW28" i="10"/>
  <c r="BF29" i="10" s="1"/>
  <c r="AT28" i="10"/>
  <c r="BD28" i="10" s="1"/>
  <c r="AV28" i="10"/>
  <c r="BE29" i="10" s="1"/>
  <c r="AD29" i="9"/>
  <c r="BK20" i="10" s="1"/>
  <c r="BV20" i="10" s="1"/>
  <c r="CJ8" i="10"/>
  <c r="CJ9" i="10"/>
  <c r="CK8" i="10"/>
  <c r="CK9" i="10"/>
  <c r="CL8" i="10"/>
  <c r="BE28" i="10" l="1"/>
  <c r="BC28" i="10" s="1"/>
  <c r="BG29" i="10"/>
  <c r="BG28" i="10"/>
  <c r="BE12" i="10"/>
  <c r="BC12" i="10" s="1"/>
  <c r="BG13" i="10"/>
  <c r="BG12" i="10"/>
  <c r="BR20" i="10"/>
  <c r="BX21" i="10" s="1"/>
  <c r="BQ20" i="10"/>
  <c r="BZ21" i="10" s="1"/>
  <c r="BP20" i="10"/>
  <c r="BY21" i="10" s="1"/>
  <c r="BL20" i="10"/>
  <c r="BN20" i="10"/>
  <c r="BX20" i="10" s="1"/>
  <c r="BM20" i="10"/>
  <c r="BZ20" i="10" s="1"/>
  <c r="BC29" i="10"/>
  <c r="BC13" i="10"/>
  <c r="BY20" i="10" l="1"/>
  <c r="BW20" i="10" s="1"/>
  <c r="CA21" i="10"/>
  <c r="CA20" i="10"/>
  <c r="CP28" i="10" a="1"/>
  <c r="CP12" i="10" a="1"/>
  <c r="BW21" i="10"/>
  <c r="DA22" i="10" l="1"/>
  <c r="DA18" i="10"/>
  <c r="DB19" i="10"/>
  <c r="CV20" i="10" a="1"/>
  <c r="CX21" i="10" s="1"/>
  <c r="CP28" i="10"/>
  <c r="CQ28" i="10"/>
  <c r="CR28" i="10"/>
  <c r="CP29" i="10"/>
  <c r="CQ29" i="10"/>
  <c r="CR29" i="10"/>
  <c r="CP12" i="10"/>
  <c r="CQ12" i="10"/>
  <c r="CR12" i="10"/>
  <c r="CP13" i="10"/>
  <c r="CQ13" i="10"/>
  <c r="CR13" i="10"/>
  <c r="CW21" i="10" l="1"/>
  <c r="CV21" i="10"/>
  <c r="CX20" i="10"/>
  <c r="CW20" i="10"/>
  <c r="CV20"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<sst xmlns="http://schemas.openxmlformats.org/spreadsheetml/2006/main" count="1865" uniqueCount="526">
  <si>
    <t>Czech Republic</t>
  </si>
  <si>
    <t>England</t>
  </si>
  <si>
    <t>Spain</t>
  </si>
  <si>
    <t>Scotland</t>
  </si>
  <si>
    <t>Italy</t>
  </si>
  <si>
    <t>Russia</t>
  </si>
  <si>
    <t>North Macedonia</t>
  </si>
  <si>
    <t>Portugal</t>
  </si>
  <si>
    <t>Netherlands</t>
  </si>
  <si>
    <t>Austria</t>
  </si>
  <si>
    <t>Slovakia</t>
  </si>
  <si>
    <t>Finland</t>
  </si>
  <si>
    <t>Germany</t>
  </si>
  <si>
    <t>Croatia</t>
  </si>
  <si>
    <t>Denmark</t>
  </si>
  <si>
    <t>Turkey</t>
  </si>
  <si>
    <t>Sweden</t>
  </si>
  <si>
    <t>Switzerland</t>
  </si>
  <si>
    <t>Ukraine</t>
  </si>
  <si>
    <t>Poland</t>
  </si>
  <si>
    <t>Belgium</t>
  </si>
  <si>
    <t>Hungary</t>
  </si>
  <si>
    <t>France</t>
  </si>
  <si>
    <t>Wales</t>
  </si>
  <si>
    <t>Team</t>
  </si>
  <si>
    <t>Group</t>
  </si>
  <si>
    <t>A</t>
  </si>
  <si>
    <t>E</t>
  </si>
  <si>
    <t>I</t>
  </si>
  <si>
    <t>L</t>
  </si>
  <si>
    <t>B</t>
  </si>
  <si>
    <t>H</t>
  </si>
  <si>
    <t>F</t>
  </si>
  <si>
    <t>C</t>
  </si>
  <si>
    <t>D</t>
  </si>
  <si>
    <t>Group_Number</t>
  </si>
  <si>
    <t>Home_Group_Number</t>
  </si>
  <si>
    <t>Away_Group_Number</t>
  </si>
  <si>
    <t>Group_Game_Number</t>
  </si>
  <si>
    <t>Team_Number</t>
  </si>
  <si>
    <t>Group_Code</t>
  </si>
  <si>
    <t>Euro_Match_Number</t>
  </si>
  <si>
    <t>Group Tie Break Rules</t>
  </si>
  <si>
    <t>Points</t>
  </si>
  <si>
    <t>Points between tied teams</t>
  </si>
  <si>
    <t>Goal Difference between tied teams</t>
  </si>
  <si>
    <t>Goals Scored between tied teams</t>
  </si>
  <si>
    <t>Group Goal Difference</t>
  </si>
  <si>
    <t>Group Goals Scored</t>
  </si>
  <si>
    <t>Highest Number of Wins</t>
  </si>
  <si>
    <t>Penalty Shoot Out (if playing each other during final game)</t>
  </si>
  <si>
    <t>Disciplinary Points (1 - Yellow, 3 - Two Yellows Red, 3 - Direct Red, 4 - Yellow &amp; Direct Red)</t>
  </si>
  <si>
    <t>Rnk</t>
  </si>
  <si>
    <t>Grp</t>
  </si>
  <si>
    <t>Pld</t>
  </si>
  <si>
    <t>W</t>
  </si>
  <si>
    <t>GF</t>
  </si>
  <si>
    <t>GA</t>
  </si>
  <si>
    <t>GD</t>
  </si>
  <si>
    <t>Pts</t>
  </si>
  <si>
    <t> Belgium</t>
  </si>
  <si>
    <t>J</t>
  </si>
  <si>
    <t> Italy</t>
  </si>
  <si>
    <t> England</t>
  </si>
  <si>
    <t> Germany</t>
  </si>
  <si>
    <t> Spain</t>
  </si>
  <si>
    <t> Ukraine</t>
  </si>
  <si>
    <t> France</t>
  </si>
  <si>
    <t>G</t>
  </si>
  <si>
    <t> Poland</t>
  </si>
  <si>
    <t>  Switzerland</t>
  </si>
  <si>
    <t> Croatia</t>
  </si>
  <si>
    <t> Netherlands</t>
  </si>
  <si>
    <t> Russia</t>
  </si>
  <si>
    <t> Portugal</t>
  </si>
  <si>
    <t> Turkey</t>
  </si>
  <si>
    <t> Denmark</t>
  </si>
  <si>
    <t> Austria</t>
  </si>
  <si>
    <t> Sweden</t>
  </si>
  <si>
    <t> Czech Republic</t>
  </si>
  <si>
    <t> Wales</t>
  </si>
  <si>
    <t> Finland</t>
  </si>
  <si>
    <t> Serbia</t>
  </si>
  <si>
    <t> Slovakia</t>
  </si>
  <si>
    <t> Republic of Ireland</t>
  </si>
  <si>
    <t> Iceland</t>
  </si>
  <si>
    <t>−1</t>
  </si>
  <si>
    <t> Northern Ireland</t>
  </si>
  <si>
    <t>−4</t>
  </si>
  <si>
    <t> Norway</t>
  </si>
  <si>
    <t> Kosovo</t>
  </si>
  <si>
    <t>−3</t>
  </si>
  <si>
    <t> Greece</t>
  </si>
  <si>
    <t> Scotland</t>
  </si>
  <si>
    <t>−11</t>
  </si>
  <si>
    <t> North Macedonia</t>
  </si>
  <si>
    <t>−5</t>
  </si>
  <si>
    <t> Hungary</t>
  </si>
  <si>
    <t> Slovenia</t>
  </si>
  <si>
    <t> Romania</t>
  </si>
  <si>
    <t> Georgia</t>
  </si>
  <si>
    <t> Albania</t>
  </si>
  <si>
    <t> Bosnia and Herzegovina</t>
  </si>
  <si>
    <t> Bulgaria</t>
  </si>
  <si>
    <t> Luxembourg</t>
  </si>
  <si>
    <t>−9</t>
  </si>
  <si>
    <t> Belarus</t>
  </si>
  <si>
    <t>−12</t>
  </si>
  <si>
    <t> Cyprus</t>
  </si>
  <si>
    <t>−14</t>
  </si>
  <si>
    <t> Armenia</t>
  </si>
  <si>
    <t> Israel</t>
  </si>
  <si>
    <t>−7</t>
  </si>
  <si>
    <t> Kazakhstan</t>
  </si>
  <si>
    <t>−10</t>
  </si>
  <si>
    <t> Montenegro</t>
  </si>
  <si>
    <t>−19</t>
  </si>
  <si>
    <t> Azerbaijan</t>
  </si>
  <si>
    <t>−13</t>
  </si>
  <si>
    <t> Andorra</t>
  </si>
  <si>
    <t>−17</t>
  </si>
  <si>
    <t> Lithuania</t>
  </si>
  <si>
    <t>−20</t>
  </si>
  <si>
    <t> Estonia</t>
  </si>
  <si>
    <t>−24</t>
  </si>
  <si>
    <t> Faroe Islands</t>
  </si>
  <si>
    <t>−26</t>
  </si>
  <si>
    <t> Gibraltar</t>
  </si>
  <si>
    <t>−28</t>
  </si>
  <si>
    <t> Moldova</t>
  </si>
  <si>
    <t>−22</t>
  </si>
  <si>
    <t> Malta</t>
  </si>
  <si>
    <t> Latvia</t>
  </si>
  <si>
    <t>−25</t>
  </si>
  <si>
    <t> Liechtenstein</t>
  </si>
  <si>
    <t>−29</t>
  </si>
  <si>
    <t> San Marino</t>
  </si>
  <si>
    <t>−50</t>
  </si>
  <si>
    <t>GApG</t>
  </si>
  <si>
    <t>GFpG</t>
  </si>
  <si>
    <t>Group Third Place Ranking</t>
  </si>
  <si>
    <t>Goal Difference</t>
  </si>
  <si>
    <t>Goals Scored</t>
  </si>
  <si>
    <t>Wins</t>
  </si>
  <si>
    <t>Diciplinary Points</t>
  </si>
  <si>
    <t>Euro Qualifiers Overall Ranking</t>
  </si>
  <si>
    <t>Match_Date</t>
  </si>
  <si>
    <t>Match_Time_UK</t>
  </si>
  <si>
    <t>Match Number</t>
  </si>
  <si>
    <t>Venue_Number</t>
  </si>
  <si>
    <t>Venue_City</t>
  </si>
  <si>
    <t>Venue_Stadium</t>
  </si>
  <si>
    <t>London</t>
  </si>
  <si>
    <t>Wembley Stadium</t>
  </si>
  <si>
    <t>Rome</t>
  </si>
  <si>
    <t>Stadio Olimpico</t>
  </si>
  <si>
    <t>Munich</t>
  </si>
  <si>
    <t>Venue_Country</t>
  </si>
  <si>
    <t>Allianz Arena</t>
  </si>
  <si>
    <t>Azerbaijan</t>
  </si>
  <si>
    <t>Baku</t>
  </si>
  <si>
    <t>Olympic Stadium</t>
  </si>
  <si>
    <t>Krestovsky Stadium</t>
  </si>
  <si>
    <t>Hungry</t>
  </si>
  <si>
    <t>Budapest</t>
  </si>
  <si>
    <t>Puskas Arena</t>
  </si>
  <si>
    <t>Seville</t>
  </si>
  <si>
    <t>La Cartuja</t>
  </si>
  <si>
    <t>Romania</t>
  </si>
  <si>
    <t>Bucharest</t>
  </si>
  <si>
    <t>Arean Nationala</t>
  </si>
  <si>
    <t>Amsterdam</t>
  </si>
  <si>
    <t>Johan Cruyff Arena</t>
  </si>
  <si>
    <t>Glasgow</t>
  </si>
  <si>
    <t>Hampden Park</t>
  </si>
  <si>
    <t>Copenhagen</t>
  </si>
  <si>
    <t>Parken Stadium</t>
  </si>
  <si>
    <t>Venue</t>
  </si>
  <si>
    <t>Team A Name</t>
  </si>
  <si>
    <t>Team A Goals</t>
  </si>
  <si>
    <t>Team A RCs</t>
  </si>
  <si>
    <t>Team A YCs</t>
  </si>
  <si>
    <t>Team A Penalties</t>
  </si>
  <si>
    <t>Team B Name</t>
  </si>
  <si>
    <t>Team B Goals</t>
  </si>
  <si>
    <t>Team B Ycs</t>
  </si>
  <si>
    <t>Team B RCs</t>
  </si>
  <si>
    <t>Team B Penalties</t>
  </si>
  <si>
    <t>Venue_Name</t>
  </si>
  <si>
    <t>Date &amp; Time</t>
  </si>
  <si>
    <t>Saint Petersburg</t>
  </si>
  <si>
    <t>Team_Code</t>
  </si>
  <si>
    <t>Is_Complete</t>
  </si>
  <si>
    <t>Is_Win</t>
  </si>
  <si>
    <t>Home_Points</t>
  </si>
  <si>
    <t>Away_Points</t>
  </si>
  <si>
    <t>A1</t>
  </si>
  <si>
    <t>A2</t>
  </si>
  <si>
    <t>A3</t>
  </si>
  <si>
    <t>A4</t>
  </si>
  <si>
    <t>Home_Team_Number</t>
  </si>
  <si>
    <t>Away_Team_Number</t>
  </si>
  <si>
    <t>Home_Goals_For</t>
  </si>
  <si>
    <t>Home_Goals_Against</t>
  </si>
  <si>
    <t>Home_Yellow_Cards</t>
  </si>
  <si>
    <t>Home_Red_Cards</t>
  </si>
  <si>
    <t>Home_Penalties</t>
  </si>
  <si>
    <t>Away_Goals_For</t>
  </si>
  <si>
    <t>Away_Goals_Against</t>
  </si>
  <si>
    <t>Away_Yellow_Cards</t>
  </si>
  <si>
    <t>Away_Red_Cards</t>
  </si>
  <si>
    <t>Away_Penalties</t>
  </si>
  <si>
    <t>Total_Points</t>
  </si>
  <si>
    <t>Total_Goals_For</t>
  </si>
  <si>
    <t>Total_Goals_Against</t>
  </si>
  <si>
    <t>Total_Yellow_Cards</t>
  </si>
  <si>
    <t>Total_Red_Cards</t>
  </si>
  <si>
    <t>Total_Penalties</t>
  </si>
  <si>
    <t>Total_Diciplinary_Points</t>
  </si>
  <si>
    <t>B1</t>
  </si>
  <si>
    <t>B2</t>
  </si>
  <si>
    <t>B3</t>
  </si>
  <si>
    <t>B4</t>
  </si>
  <si>
    <t>C1</t>
  </si>
  <si>
    <t>C2</t>
  </si>
  <si>
    <t>C3</t>
  </si>
  <si>
    <t>C4</t>
  </si>
  <si>
    <t>D1</t>
  </si>
  <si>
    <t>D2</t>
  </si>
  <si>
    <t>D3</t>
  </si>
  <si>
    <t>D4</t>
  </si>
  <si>
    <t>E1</t>
  </si>
  <si>
    <t>E2</t>
  </si>
  <si>
    <t>E3</t>
  </si>
  <si>
    <t>E4</t>
  </si>
  <si>
    <t>F1</t>
  </si>
  <si>
    <t>F2</t>
  </si>
  <si>
    <t>F3</t>
  </si>
  <si>
    <t>F4</t>
  </si>
  <si>
    <t>Group_Points_Rank</t>
  </si>
  <si>
    <t>Point_Rank</t>
  </si>
  <si>
    <t>Team 1</t>
  </si>
  <si>
    <t>Team 2</t>
  </si>
  <si>
    <t>Team 3</t>
  </si>
  <si>
    <t>Team 4</t>
  </si>
  <si>
    <t>Count</t>
  </si>
  <si>
    <t>Group_Points_Rank_Code</t>
  </si>
  <si>
    <t>Rank Team 1</t>
  </si>
  <si>
    <t>Rank Team 2</t>
  </si>
  <si>
    <t>Rank Team 3</t>
  </si>
  <si>
    <t>Match_Code</t>
  </si>
  <si>
    <t>Match 1 Code</t>
  </si>
  <si>
    <t>Match 2 Code</t>
  </si>
  <si>
    <t>Match 3 Code</t>
  </si>
  <si>
    <t>Home Points Team 1</t>
  </si>
  <si>
    <t>Away Points Team 1</t>
  </si>
  <si>
    <t>Home Goals For Team 1</t>
  </si>
  <si>
    <t>Home Goals Against Team 1</t>
  </si>
  <si>
    <t>Away Goals For Team 1</t>
  </si>
  <si>
    <t>Away Goals Against Team 1</t>
  </si>
  <si>
    <t>Total Points Team 1</t>
  </si>
  <si>
    <t>Total Goals For Team 1</t>
  </si>
  <si>
    <t>Total Goals Against Team 1</t>
  </si>
  <si>
    <t>Total Goal Difference Team 1</t>
  </si>
  <si>
    <t>Home Points Team 2</t>
  </si>
  <si>
    <t>Away Points Team 2</t>
  </si>
  <si>
    <t>Home Goals For Team 2</t>
  </si>
  <si>
    <t>Home Goals Against Team 2</t>
  </si>
  <si>
    <t>Away Goals For Team 2</t>
  </si>
  <si>
    <t>Away Goals Against Team 2</t>
  </si>
  <si>
    <t>Total Points Team 2</t>
  </si>
  <si>
    <t>Total Goals For Team 2</t>
  </si>
  <si>
    <t>Total Goals Against Team 2</t>
  </si>
  <si>
    <t>Total Goal Difference Team 2</t>
  </si>
  <si>
    <t>Home Points Team 3</t>
  </si>
  <si>
    <t>Away Points Team 3</t>
  </si>
  <si>
    <t>Home Goals For Team 3</t>
  </si>
  <si>
    <t>Home Goals Against Team 3</t>
  </si>
  <si>
    <t>Away Goals For Team 3</t>
  </si>
  <si>
    <t>Away Goals Against Team 3</t>
  </si>
  <si>
    <t>Total Points Team 3</t>
  </si>
  <si>
    <t>Total Goals For Team 3</t>
  </si>
  <si>
    <t>Total Goals Against Team 3</t>
  </si>
  <si>
    <t>Total Goal Difference Team 3</t>
  </si>
  <si>
    <t>Point_Rank_TRUE</t>
  </si>
  <si>
    <t>Rank_Count</t>
  </si>
  <si>
    <t>Number</t>
  </si>
  <si>
    <t>Rank_Code</t>
  </si>
  <si>
    <t>Total_Goal_Difference</t>
  </si>
  <si>
    <t>Rank_Points</t>
  </si>
  <si>
    <t>Rank_Goal_Difference</t>
  </si>
  <si>
    <t>Rank_Goals_For</t>
  </si>
  <si>
    <t>Rank_All_Value</t>
  </si>
  <si>
    <t>TieBreak_Rank</t>
  </si>
  <si>
    <t>Group_Points_TieBreak_Rank_1</t>
  </si>
  <si>
    <t>Group_Points_TieBreak_Rank_2</t>
  </si>
  <si>
    <t>Home_Wins</t>
  </si>
  <si>
    <t>Away_Wins</t>
  </si>
  <si>
    <t>Goal_Difference</t>
  </si>
  <si>
    <t>Total_Wins</t>
  </si>
  <si>
    <t>Goal_Difference_Rank</t>
  </si>
  <si>
    <t>Goals_Scored_Rank</t>
  </si>
  <si>
    <t>Wins_Count_Rank</t>
  </si>
  <si>
    <t>Penalty_Rank</t>
  </si>
  <si>
    <t>Disciplinary_Points_Rank</t>
  </si>
  <si>
    <t>Euro_Qualify_Rank</t>
  </si>
  <si>
    <t>Total_Group_Rank_Value</t>
  </si>
  <si>
    <t>Group_Rank</t>
  </si>
  <si>
    <t>Table_Rank_Code</t>
  </si>
  <si>
    <t>Home_Draws</t>
  </si>
  <si>
    <t>Home_Loses</t>
  </si>
  <si>
    <t>Home_Games</t>
  </si>
  <si>
    <t>Away_Games</t>
  </si>
  <si>
    <t>Away_Draws</t>
  </si>
  <si>
    <t>Away_Loses</t>
  </si>
  <si>
    <t>Total_Games</t>
  </si>
  <si>
    <t>Total_Draws</t>
  </si>
  <si>
    <t>Total_Loses</t>
  </si>
  <si>
    <t>Table_Position</t>
  </si>
  <si>
    <t>Table_Team</t>
  </si>
  <si>
    <t>Table_Played</t>
  </si>
  <si>
    <t>Table_Won</t>
  </si>
  <si>
    <t>Table_Drew</t>
  </si>
  <si>
    <t>Table_Lost</t>
  </si>
  <si>
    <t>Table_For</t>
  </si>
  <si>
    <t>Table_Against</t>
  </si>
  <si>
    <t>Table_Goal_Difference</t>
  </si>
  <si>
    <t>Table_Points</t>
  </si>
  <si>
    <t>Table_Head_to_Head_Rank</t>
  </si>
  <si>
    <t>Gd</t>
  </si>
  <si>
    <t>A12</t>
  </si>
  <si>
    <t>A34</t>
  </si>
  <si>
    <t>A13</t>
  </si>
  <si>
    <t>A24</t>
  </si>
  <si>
    <t>A14</t>
  </si>
  <si>
    <t>A23</t>
  </si>
  <si>
    <t>Mid Section</t>
  </si>
  <si>
    <t>Group A</t>
  </si>
  <si>
    <t>Pos</t>
  </si>
  <si>
    <t>B12</t>
  </si>
  <si>
    <t>B34</t>
  </si>
  <si>
    <t>B24</t>
  </si>
  <si>
    <t>B13</t>
  </si>
  <si>
    <t>B23</t>
  </si>
  <si>
    <t>B14</t>
  </si>
  <si>
    <t>C12</t>
  </si>
  <si>
    <t>C34</t>
  </si>
  <si>
    <t>C24</t>
  </si>
  <si>
    <t>C13</t>
  </si>
  <si>
    <t>C23</t>
  </si>
  <si>
    <t>C14</t>
  </si>
  <si>
    <t>D12</t>
  </si>
  <si>
    <t>D34</t>
  </si>
  <si>
    <t>D24</t>
  </si>
  <si>
    <t>D13</t>
  </si>
  <si>
    <t>D23</t>
  </si>
  <si>
    <t>D14</t>
  </si>
  <si>
    <t>Head_To_Head_Rank_Value</t>
  </si>
  <si>
    <t>Group_Point_Rank_Value</t>
  </si>
  <si>
    <t>Group_Goals_Rank_Value</t>
  </si>
  <si>
    <t>Diciplinary_Rank_Value</t>
  </si>
  <si>
    <t>Penalty_Rank_Value</t>
  </si>
  <si>
    <t>Wins_Rank_Value</t>
  </si>
  <si>
    <t>Points_Match</t>
  </si>
  <si>
    <t>H2H_Match</t>
  </si>
  <si>
    <t>Goals_Match</t>
  </si>
  <si>
    <t>Wins_Match</t>
  </si>
  <si>
    <t>Penalty_Match</t>
  </si>
  <si>
    <t>Disciplinary_Match</t>
  </si>
  <si>
    <t>Qualifier_Match</t>
  </si>
  <si>
    <t>Qualify_Note</t>
  </si>
  <si>
    <t>E12</t>
  </si>
  <si>
    <t>E34</t>
  </si>
  <si>
    <t>E24</t>
  </si>
  <si>
    <t>E13</t>
  </si>
  <si>
    <t>E23</t>
  </si>
  <si>
    <t>E14</t>
  </si>
  <si>
    <t>F12</t>
  </si>
  <si>
    <t>F34</t>
  </si>
  <si>
    <t>F13</t>
  </si>
  <si>
    <t>F24</t>
  </si>
  <si>
    <t>F23</t>
  </si>
  <si>
    <t>F14</t>
  </si>
  <si>
    <t>Match</t>
  </si>
  <si>
    <t>Serbia</t>
  </si>
  <si>
    <t>Republic of Ireland</t>
  </si>
  <si>
    <t>Iceland</t>
  </si>
  <si>
    <t>Northern Ireland</t>
  </si>
  <si>
    <t>Norway</t>
  </si>
  <si>
    <t>Kosovo</t>
  </si>
  <si>
    <t>Greece</t>
  </si>
  <si>
    <t>Slovenia</t>
  </si>
  <si>
    <t>Georgia</t>
  </si>
  <si>
    <t>Albania</t>
  </si>
  <si>
    <t>Bosnia and Herzegovina</t>
  </si>
  <si>
    <t>Bulgaria</t>
  </si>
  <si>
    <t>Luxembourg</t>
  </si>
  <si>
    <t>Belarus</t>
  </si>
  <si>
    <t>Cyprus</t>
  </si>
  <si>
    <t>Armenia</t>
  </si>
  <si>
    <t>Israel</t>
  </si>
  <si>
    <t>Kazakhstan</t>
  </si>
  <si>
    <t>Montenegro</t>
  </si>
  <si>
    <t>Andorra</t>
  </si>
  <si>
    <t>Lithuania</t>
  </si>
  <si>
    <t>Estonia</t>
  </si>
  <si>
    <t>Faroe Islands</t>
  </si>
  <si>
    <t>Gibraltar</t>
  </si>
  <si>
    <t>Moldova</t>
  </si>
  <si>
    <t>Malta</t>
  </si>
  <si>
    <t>Latvia</t>
  </si>
  <si>
    <t>Liechtenstein</t>
  </si>
  <si>
    <t>San Marino</t>
  </si>
  <si>
    <t>Qualifier_Rank</t>
  </si>
  <si>
    <t>Qualifier_Rank_Position</t>
  </si>
  <si>
    <t>Points_Rank</t>
  </si>
  <si>
    <t>Goals_For_Rank</t>
  </si>
  <si>
    <t>Wins_Rank</t>
  </si>
  <si>
    <t>Disciplinary_Rank</t>
  </si>
  <si>
    <t>Total_Group_Rank</t>
  </si>
  <si>
    <t>Table_Rank</t>
  </si>
  <si>
    <t>Table_Diciplinary_Points</t>
  </si>
  <si>
    <t>Table_Qualifier_Rank</t>
  </si>
  <si>
    <t>Table_Rank_Value</t>
  </si>
  <si>
    <t>Disciplinary_Rank_Value</t>
  </si>
  <si>
    <t>Table_Match</t>
  </si>
  <si>
    <t>Qualify_Group</t>
  </si>
  <si>
    <t>Is_Third_Qualify</t>
  </si>
  <si>
    <t xml:space="preserve">Qualified - 1st or 2nd in Group </t>
  </si>
  <si>
    <t>Qualified - Best Four 3rd Place</t>
  </si>
  <si>
    <t>Option</t>
  </si>
  <si>
    <t>Is_Sequence</t>
  </si>
  <si>
    <t>Table_Rank_Code_1</t>
  </si>
  <si>
    <t>Is_Third_Place</t>
  </si>
  <si>
    <t>Table_Rank_Code_2</t>
  </si>
  <si>
    <t>Third_Rank_Code</t>
  </si>
  <si>
    <t>Team_1_Number</t>
  </si>
  <si>
    <t>Team_2_Number</t>
  </si>
  <si>
    <t>Total</t>
  </si>
  <si>
    <t>Provisional - 1st or 2nd in Group</t>
  </si>
  <si>
    <t>Provisional - Best Four 3rd Place</t>
  </si>
  <si>
    <t>TV_Station</t>
  </si>
  <si>
    <t>BBC</t>
  </si>
  <si>
    <t>Team A AET</t>
  </si>
  <si>
    <t>Team B AET</t>
  </si>
  <si>
    <t>Is_Result_Goals</t>
  </si>
  <si>
    <t>Is_Result_AET</t>
  </si>
  <si>
    <t>Is_Result_Penalties</t>
  </si>
  <si>
    <t>Team_Number_Winner</t>
  </si>
  <si>
    <t>Team_1_Value</t>
  </si>
  <si>
    <t>Team_2_Value</t>
  </si>
  <si>
    <t>KO_Match_Number_1</t>
  </si>
  <si>
    <t>KO_Match_Number_2</t>
  </si>
  <si>
    <t>Spare 2</t>
  </si>
  <si>
    <t>Spare 1</t>
  </si>
  <si>
    <t>Round_Name</t>
  </si>
  <si>
    <t>Round 16</t>
  </si>
  <si>
    <t>Quarter Final</t>
  </si>
  <si>
    <t>Semi-Final</t>
  </si>
  <si>
    <t>Final</t>
  </si>
  <si>
    <t>BBC / iTV</t>
  </si>
  <si>
    <t>iTV</t>
  </si>
  <si>
    <t>Round</t>
  </si>
  <si>
    <t>Team_1_Group_Name</t>
  </si>
  <si>
    <t>Team_2_Group_Name</t>
  </si>
  <si>
    <t>Is_Group_Complete_1</t>
  </si>
  <si>
    <t>Is_Group_Complete_2</t>
  </si>
  <si>
    <t>Country_Short</t>
  </si>
  <si>
    <t>ENG</t>
  </si>
  <si>
    <t>ITA</t>
  </si>
  <si>
    <t>GER</t>
  </si>
  <si>
    <t>AZE</t>
  </si>
  <si>
    <t>RUS</t>
  </si>
  <si>
    <t>HUN</t>
  </si>
  <si>
    <t>SPA</t>
  </si>
  <si>
    <t>ROM</t>
  </si>
  <si>
    <t>NET</t>
  </si>
  <si>
    <t>SCO</t>
  </si>
  <si>
    <t>DEN</t>
  </si>
  <si>
    <t>City_Short</t>
  </si>
  <si>
    <t>Lon</t>
  </si>
  <si>
    <t>Rom</t>
  </si>
  <si>
    <t>Mun</t>
  </si>
  <si>
    <t>Bak</t>
  </si>
  <si>
    <t>Sai</t>
  </si>
  <si>
    <t>Bud</t>
  </si>
  <si>
    <t>Sev</t>
  </si>
  <si>
    <t>Buc</t>
  </si>
  <si>
    <t>Ams</t>
  </si>
  <si>
    <t>Gla</t>
  </si>
  <si>
    <t>Cop</t>
  </si>
  <si>
    <t>Venue_Short</t>
  </si>
  <si>
    <t>Spare 24</t>
  </si>
  <si>
    <t>Third_Possibilities</t>
  </si>
  <si>
    <t>A/D/E/F</t>
  </si>
  <si>
    <t>A/B/C/D</t>
  </si>
  <si>
    <t>A/B/C</t>
  </si>
  <si>
    <t>D/E/F</t>
  </si>
  <si>
    <t>Is_Match_Complete_1</t>
  </si>
  <si>
    <t>Is_Match_Complete_2</t>
  </si>
  <si>
    <t>Team_1_Round_Name</t>
  </si>
  <si>
    <t>Team_2_Round_Name</t>
  </si>
  <si>
    <t>Provisional - 1st to 4th in Group</t>
  </si>
  <si>
    <t xml:space="preserve">Qualified - 1st to 4th in Group </t>
  </si>
  <si>
    <t>Index</t>
  </si>
  <si>
    <t>Group Match Input</t>
  </si>
  <si>
    <t>Group B</t>
  </si>
  <si>
    <t>Group C</t>
  </si>
  <si>
    <t>Group D</t>
  </si>
  <si>
    <t>Group E</t>
  </si>
  <si>
    <t>Group F</t>
  </si>
  <si>
    <t>3rd Place Table</t>
  </si>
  <si>
    <t>Group Menu</t>
  </si>
  <si>
    <t>Knockout Menu</t>
  </si>
  <si>
    <t>Knockout Match Input</t>
  </si>
  <si>
    <t>Knockout Results</t>
  </si>
  <si>
    <t>Group Match Input Instructions</t>
  </si>
  <si>
    <t>1)</t>
  </si>
  <si>
    <t>2)</t>
  </si>
  <si>
    <t>3)</t>
  </si>
  <si>
    <t>Team (A or B) Goals</t>
  </si>
  <si>
    <t>Team (A or B) RCs - Number of Red Cards received by the Team. If a player receives a yellow card followed by a Red Card, then this counts as 1 Red Card and 1 Yellow Card.</t>
  </si>
  <si>
    <t>For the final two games, of each Group, each Team needs to have the above completed. However, if, at the end of the game, the game is drawn, and the teams are level in the table with no other team level with them, then a penalties will be taken. These must be recorded in the Team A or B Penalties cell.</t>
  </si>
  <si>
    <t>Team (A or B) YCs - Number of Yellow Cards received by the Team. If a Red Card is issued for two Yellow Cards, then Yellow Cards should not be counted.</t>
  </si>
  <si>
    <t>Rank Note</t>
  </si>
  <si>
    <t>For the first four games, of each Group, each Team needs the below cells to be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</si>
</sst>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0.0%"/>
  </numFmts>
  <fonts count="25" x14ac:knownFonts="1">
    <font>
      <sz val="11"/>
      <color theme="1"/>
      <name val="Calibri"/>
      <family val="2"/>
      <scheme val="minor"/>
    </font>
    <font>
      <sz val="11"/>
      <color theme="1"/>
      <name val="Calibri"/>
      <family val="2"/>
      <scheme val="minor"/>
    </font>
    <font>
      <sz val="8"/>
      <name val="Calibri"/>
      <family val="2"/>
      <scheme val="minor"/>
    </font>
    <font>
      <sz val="11"/>
      <color theme="1"/>
      <name val="Segoe UI Light"/>
      <family val="2"/>
    </font>
    <font>
      <sz val="12"/>
      <color theme="1"/>
      <name val="Segoe UI Light"/>
      <family val="2"/>
    </font>
    <font>
      <sz val="12"/>
      <color theme="1"/>
      <name val="Segoe UI Semibold"/>
      <family val="2"/>
    </font>
    <font>
      <sz val="14"/>
      <color theme="1"/>
      <name val="Segoe UI Semibold"/>
      <family val="2"/>
    </font>
    <font>
      <i/>
      <sz val="11"/>
      <color theme="1"/>
      <name val="Segoe UI Light"/>
      <family val="2"/>
    </font>
    <font>
      <sz val="12"/>
      <color theme="1"/>
      <name val="Segoe UI"/>
      <family val="2"/>
    </font>
    <font>
      <sz val="8"/>
      <color theme="1"/>
      <name val="Segoe UI Light"/>
      <family val="2"/>
    </font>
    <font>
      <i/>
      <sz val="10"/>
      <color theme="1"/>
      <name val="Segoe UI Light"/>
      <family val="2"/>
    </font>
    <font>
      <sz val="10"/>
      <color theme="1"/>
      <name val="Segoe UI Light"/>
      <family val="2"/>
    </font>
    <font>
      <sz val="11"/>
      <color theme="1"/>
      <name val="Segoe UI Semibold"/>
      <family val="2"/>
    </font>
    <font>
      <sz val="11"/>
      <color theme="0"/>
      <name val="Segoe UI Light"/>
      <family val="2"/>
    </font>
    <font>
      <sz val="11"/>
      <color theme="1"/>
      <name val="Segoe UI Semilight"/>
      <family val="2"/>
    </font>
    <font>
      <i/>
      <sz val="9"/>
      <color theme="1"/>
      <name val="Segoe UI Semilight"/>
      <family val="2"/>
    </font>
    <font>
      <sz val="8"/>
      <color theme="1"/>
      <name val="Segoe UI Semilight"/>
      <family val="2"/>
    </font>
    <font>
      <sz val="12"/>
      <color theme="1"/>
      <name val="Segoe UI Semilight"/>
      <family val="2"/>
    </font>
    <font>
      <sz val="10"/>
      <color theme="1"/>
      <name val="Calibri"/>
      <family val="2"/>
      <scheme val="minor"/>
    </font>
    <font>
      <sz val="16"/>
      <color theme="1"/>
      <name val="Segoe UI Semibold"/>
      <family val="2"/>
    </font>
    <font>
      <u/>
      <sz val="11"/>
      <color theme="10"/>
      <name val="Calibri"/>
      <family val="2"/>
      <scheme val="minor"/>
    </font>
    <font>
      <sz val="11"/>
      <color theme="1"/>
      <name val="Segoe UI"/>
      <family val="2"/>
    </font>
    <font>
      <sz val="10"/>
      <color theme="1"/>
      <name val="Segoe UI Semibold"/>
      <family val="2"/>
    </font>
    <font>
      <sz val="11"/>
      <color theme="10"/>
      <name val="Segoe UI Semilight"/>
      <family val="2"/>
    </font>
    <font>
      <sz val="16"/>
      <color theme="1"/>
      <name val="Segoe UI Black"/>
      <family val="2"/>
    </font>
  </fonts>
  <fills count="13">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0" tint="-0.249977111117893"/>
        <bgColor indexed="64"/>
      </patternFill>
    </fill>
  </fills>
  <borders count="3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dotted">
        <color theme="1" tint="0.499984740745262"/>
      </bottom>
      <diagonal/>
    </border>
    <border>
      <left/>
      <right/>
      <top style="thin">
        <color theme="1" tint="0.499984740745262"/>
      </top>
      <bottom style="dotted">
        <color theme="1" tint="0.499984740745262"/>
      </bottom>
      <diagonal/>
    </border>
    <border>
      <left/>
      <right style="thin">
        <color theme="1" tint="0.499984740745262"/>
      </right>
      <top style="thin">
        <color theme="1" tint="0.499984740745262"/>
      </top>
      <bottom style="dotted">
        <color theme="1" tint="0.499984740745262"/>
      </bottom>
      <diagonal/>
    </border>
    <border>
      <left style="thin">
        <color theme="1" tint="0.499984740745262"/>
      </left>
      <right/>
      <top style="dotted">
        <color theme="1" tint="0.499984740745262"/>
      </top>
      <bottom style="thin">
        <color theme="1" tint="0.499984740745262"/>
      </bottom>
      <diagonal/>
    </border>
    <border>
      <left/>
      <right/>
      <top style="dotted">
        <color theme="1" tint="0.499984740745262"/>
      </top>
      <bottom style="thin">
        <color theme="1" tint="0.499984740745262"/>
      </bottom>
      <diagonal/>
    </border>
    <border>
      <left/>
      <right style="thin">
        <color theme="1" tint="0.499984740745262"/>
      </right>
      <top style="dotted">
        <color theme="1" tint="0.499984740745262"/>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theme="1" tint="0.499984740745262"/>
      </left>
      <right style="thin">
        <color theme="1" tint="0.499984740745262"/>
      </right>
      <top style="thin">
        <color theme="1" tint="0.499984740745262"/>
      </top>
      <bottom style="dotted">
        <color theme="1" tint="0.499984740745262"/>
      </bottom>
      <diagonal/>
    </border>
    <border>
      <left style="thin">
        <color theme="1" tint="0.499984740745262"/>
      </left>
      <right style="thin">
        <color theme="1" tint="0.499984740745262"/>
      </right>
      <top style="dotted">
        <color theme="1" tint="0.499984740745262"/>
      </top>
      <bottom style="thin">
        <color theme="1" tint="0.499984740745262"/>
      </bottom>
      <diagonal/>
    </border>
    <border diagonalUp="1">
      <left style="thin">
        <color theme="1" tint="0.499984740745262"/>
      </left>
      <right style="thin">
        <color theme="1" tint="0.499984740745262"/>
      </right>
      <top style="thin">
        <color theme="1" tint="0.499984740745262"/>
      </top>
      <bottom style="thin">
        <color theme="1" tint="0.499984740745262"/>
      </bottom>
      <diagonal style="thin">
        <color theme="1" tint="0.499984740745262"/>
      </diagonal>
    </border>
  </borders>
  <cellStyleXfs count="3">
    <xf numFmtId="0" fontId="0" fillId="0" borderId="0"/>
    <xf numFmtId="9" fontId="1" fillId="0" borderId="0" applyFont="0" applyFill="0" applyBorder="0" applyAlignment="0" applyProtection="0"/>
    <xf numFmtId="0" fontId="20" fillId="0" borderId="0" applyNumberFormat="0" applyFill="0" applyBorder="0" applyAlignment="0" applyProtection="0"/>
  </cellStyleXfs>
  <cellXfs count="164">
    <xf numFmtId="0" fontId="0" fillId="0" borderId="0" xfId="0"/>
    <xf numFmtId="0" fontId="0" fillId="0" borderId="0" xfId="0" applyAlignment="1">
      <alignment horizontal="center"/>
    </xf>
    <xf numFmtId="1" fontId="0" fillId="0" borderId="0" xfId="0" applyNumberFormat="1" applyAlignment="1">
      <alignment horizontal="center"/>
    </xf>
    <xf numFmtId="1" fontId="0" fillId="0" borderId="0" xfId="1" applyNumberFormat="1" applyFont="1" applyAlignment="1">
      <alignment horizontal="center"/>
    </xf>
    <xf numFmtId="49" fontId="0" fillId="0" borderId="0" xfId="0" applyNumberFormat="1" applyAlignment="1">
      <alignment horizontal="center"/>
    </xf>
    <xf numFmtId="0" fontId="0" fillId="0" borderId="0" xfId="0" applyAlignment="1"/>
    <xf numFmtId="14" fontId="0" fillId="0" borderId="0" xfId="0" applyNumberFormat="1" applyAlignment="1">
      <alignment horizontal="center"/>
    </xf>
    <xf numFmtId="14" fontId="0" fillId="0" borderId="0" xfId="1" applyNumberFormat="1" applyFont="1" applyAlignment="1">
      <alignment horizontal="center"/>
    </xf>
    <xf numFmtId="20" fontId="0" fillId="0" borderId="0" xfId="0" applyNumberFormat="1" applyAlignment="1">
      <alignment horizontal="center"/>
    </xf>
    <xf numFmtId="2" fontId="0" fillId="0" borderId="0" xfId="0" applyNumberFormat="1" applyAlignment="1">
      <alignment horizontal="center"/>
    </xf>
    <xf numFmtId="171" fontId="0" fillId="0" borderId="0" xfId="1" applyNumberFormat="1" applyFont="1" applyAlignment="1">
      <alignment horizontal="center"/>
    </xf>
    <xf numFmtId="1" fontId="0" fillId="0" borderId="0" xfId="0" quotePrefix="1" applyNumberFormat="1" applyAlignment="1">
      <alignment horizontal="center"/>
    </xf>
    <xf numFmtId="0" fontId="0" fillId="0" borderId="0" xfId="0" applyNumberFormat="1"/>
    <xf numFmtId="0" fontId="0" fillId="0" borderId="0" xfId="0" applyNumberForma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Alignment="1">
      <alignment horizontal="left"/>
    </xf>
    <xf numFmtId="0" fontId="3" fillId="4" borderId="0" xfId="0" applyFont="1" applyFill="1"/>
    <xf numFmtId="0" fontId="3" fillId="0" borderId="0" xfId="0" applyFont="1" applyFill="1" applyAlignment="1">
      <alignment horizontal="center"/>
    </xf>
    <xf numFmtId="0" fontId="3" fillId="4" borderId="0" xfId="0" applyFont="1" applyFill="1" applyAlignment="1">
      <alignment vertical="center"/>
    </xf>
    <xf numFmtId="0" fontId="3" fillId="4" borderId="0" xfId="0" applyFont="1" applyFill="1" applyAlignment="1">
      <alignment horizontal="center" vertical="center"/>
    </xf>
    <xf numFmtId="22" fontId="3" fillId="4" borderId="0" xfId="0" applyNumberFormat="1" applyFont="1" applyFill="1" applyAlignment="1">
      <alignment horizontal="center" vertical="center"/>
    </xf>
    <xf numFmtId="0" fontId="3" fillId="4" borderId="0" xfId="0" applyFont="1" applyFill="1" applyAlignment="1">
      <alignment horizontal="left" vertical="center"/>
    </xf>
    <xf numFmtId="0" fontId="7" fillId="4" borderId="0" xfId="0" applyFont="1" applyFill="1" applyAlignment="1">
      <alignment vertical="center"/>
    </xf>
    <xf numFmtId="0" fontId="6" fillId="5" borderId="1" xfId="0" applyFont="1" applyFill="1" applyBorder="1" applyAlignment="1">
      <alignment horizontal="center" vertical="center"/>
    </xf>
    <xf numFmtId="0" fontId="6" fillId="5" borderId="1" xfId="0" applyFont="1" applyFill="1" applyBorder="1" applyAlignment="1">
      <alignment vertical="center"/>
    </xf>
    <xf numFmtId="0" fontId="9" fillId="4" borderId="0" xfId="0" applyFont="1" applyFill="1" applyAlignment="1">
      <alignment horizontal="center" vertical="center"/>
    </xf>
    <xf numFmtId="0" fontId="0" fillId="0" borderId="0" xfId="0" applyFont="1" applyFill="1" applyAlignment="1">
      <alignment horizontal="center"/>
    </xf>
    <xf numFmtId="0" fontId="0" fillId="0" borderId="0" xfId="0" applyFont="1" applyFill="1"/>
    <xf numFmtId="0" fontId="0" fillId="0" borderId="0" xfId="0" applyFont="1"/>
    <xf numFmtId="0" fontId="3" fillId="9" borderId="0" xfId="0" applyFont="1" applyFill="1" applyAlignment="1">
      <alignment horizontal="center" vertical="center"/>
    </xf>
    <xf numFmtId="0" fontId="13" fillId="10" borderId="2" xfId="0" applyFont="1" applyFill="1" applyBorder="1" applyAlignment="1">
      <alignment horizontal="center" vertical="center"/>
    </xf>
    <xf numFmtId="0" fontId="13" fillId="10" borderId="4" xfId="0" applyFont="1" applyFill="1" applyBorder="1" applyAlignment="1">
      <alignment horizontal="center" vertical="center"/>
    </xf>
    <xf numFmtId="0" fontId="13" fillId="11" borderId="2" xfId="0" applyFont="1" applyFill="1" applyBorder="1" applyAlignment="1">
      <alignment horizontal="center" vertical="center"/>
    </xf>
    <xf numFmtId="0" fontId="13" fillId="11" borderId="4" xfId="0" applyFont="1" applyFill="1" applyBorder="1" applyAlignment="1">
      <alignment horizontal="center" vertical="center"/>
    </xf>
    <xf numFmtId="0" fontId="3" fillId="8" borderId="0" xfId="0" applyFont="1" applyFill="1" applyAlignment="1">
      <alignment horizontal="center" vertical="center"/>
    </xf>
    <xf numFmtId="0" fontId="3" fillId="4" borderId="0" xfId="0" applyFont="1" applyFill="1" applyBorder="1" applyAlignment="1">
      <alignment vertical="center"/>
    </xf>
    <xf numFmtId="0" fontId="3" fillId="4" borderId="0" xfId="0" applyFont="1" applyFill="1" applyBorder="1" applyAlignment="1">
      <alignment horizontal="center" vertical="center"/>
    </xf>
    <xf numFmtId="0" fontId="9" fillId="4" borderId="0" xfId="0" applyFont="1" applyFill="1" applyBorder="1" applyAlignment="1">
      <alignment horizontal="center" vertical="center"/>
    </xf>
    <xf numFmtId="22" fontId="3" fillId="4" borderId="0" xfId="0" applyNumberFormat="1" applyFont="1" applyFill="1" applyBorder="1" applyAlignment="1">
      <alignment horizontal="center" vertical="center"/>
    </xf>
    <xf numFmtId="0" fontId="3" fillId="4" borderId="0" xfId="0" applyFont="1" applyFill="1" applyBorder="1" applyAlignment="1">
      <alignment horizontal="left" vertical="center"/>
    </xf>
    <xf numFmtId="0" fontId="7" fillId="4" borderId="0" xfId="0" applyFont="1" applyFill="1" applyBorder="1" applyAlignment="1">
      <alignment vertical="center"/>
    </xf>
    <xf numFmtId="0" fontId="3" fillId="4" borderId="0" xfId="0" applyFont="1" applyFill="1" applyBorder="1"/>
    <xf numFmtId="0" fontId="0" fillId="12" borderId="0" xfId="0" applyFont="1" applyFill="1" applyAlignment="1">
      <alignment horizontal="center"/>
    </xf>
    <xf numFmtId="0" fontId="3" fillId="12" borderId="0" xfId="0" applyFont="1" applyFill="1" applyAlignment="1">
      <alignment horizontal="center"/>
    </xf>
    <xf numFmtId="0" fontId="3" fillId="12" borderId="0" xfId="0" applyFont="1" applyFill="1"/>
    <xf numFmtId="0" fontId="0" fillId="12" borderId="0" xfId="0" applyFont="1" applyFill="1"/>
    <xf numFmtId="0" fontId="3" fillId="12" borderId="0" xfId="0" applyFont="1" applyFill="1" applyAlignment="1">
      <alignment vertical="center"/>
    </xf>
    <xf numFmtId="0" fontId="3" fillId="12" borderId="0" xfId="0" applyFont="1" applyFill="1" applyAlignment="1">
      <alignment horizontal="center" vertical="center"/>
    </xf>
    <xf numFmtId="0" fontId="9" fillId="12" borderId="0" xfId="0" applyFont="1" applyFill="1" applyAlignment="1">
      <alignment horizontal="center" vertical="center"/>
    </xf>
    <xf numFmtId="22" fontId="3" fillId="12" borderId="0" xfId="0" applyNumberFormat="1" applyFont="1" applyFill="1" applyAlignment="1">
      <alignment horizontal="center" vertical="center"/>
    </xf>
    <xf numFmtId="0" fontId="3" fillId="12" borderId="0" xfId="0" applyFont="1" applyFill="1" applyAlignment="1">
      <alignment horizontal="left" vertical="center"/>
    </xf>
    <xf numFmtId="0" fontId="7" fillId="12" borderId="0" xfId="0" applyFont="1" applyFill="1" applyAlignment="1">
      <alignment vertical="center"/>
    </xf>
    <xf numFmtId="0" fontId="0" fillId="12" borderId="0" xfId="0" applyFill="1"/>
    <xf numFmtId="0" fontId="0" fillId="12" borderId="0" xfId="0" applyFill="1" applyAlignment="1">
      <alignment horizontal="center"/>
    </xf>
    <xf numFmtId="0" fontId="0" fillId="0" borderId="0" xfId="0" applyProtection="1">
      <protection hidden="1"/>
    </xf>
    <xf numFmtId="0" fontId="0" fillId="4" borderId="0" xfId="0" applyFill="1" applyAlignment="1" applyProtection="1">
      <alignment horizontal="center"/>
      <protection hidden="1"/>
    </xf>
    <xf numFmtId="0" fontId="0" fillId="4" borderId="0" xfId="0" applyFill="1" applyProtection="1">
      <protection hidden="1"/>
    </xf>
    <xf numFmtId="0" fontId="13" fillId="10" borderId="14" xfId="0" applyFont="1" applyFill="1" applyBorder="1" applyAlignment="1">
      <alignment horizontal="center" vertical="center"/>
    </xf>
    <xf numFmtId="0" fontId="13" fillId="10" borderId="0" xfId="0" applyFont="1" applyFill="1" applyBorder="1" applyAlignment="1">
      <alignment horizontal="center" vertical="center"/>
    </xf>
    <xf numFmtId="0" fontId="5" fillId="9" borderId="1" xfId="0" applyFont="1" applyFill="1" applyBorder="1" applyAlignment="1" applyProtection="1">
      <alignment horizontal="center" vertical="center"/>
      <protection hidden="1"/>
    </xf>
    <xf numFmtId="0" fontId="8" fillId="9" borderId="1" xfId="0" applyFont="1" applyFill="1" applyBorder="1" applyAlignment="1" applyProtection="1">
      <alignment vertical="center"/>
      <protection hidden="1"/>
    </xf>
    <xf numFmtId="0" fontId="4" fillId="9" borderId="1" xfId="0" applyFont="1" applyFill="1" applyBorder="1" applyAlignment="1" applyProtection="1">
      <alignment horizontal="center" vertical="center"/>
      <protection hidden="1"/>
    </xf>
    <xf numFmtId="0" fontId="8" fillId="9" borderId="1" xfId="0" applyFont="1" applyFill="1" applyBorder="1" applyAlignment="1" applyProtection="1">
      <alignment horizontal="center" vertical="center"/>
      <protection hidden="1"/>
    </xf>
    <xf numFmtId="0" fontId="5" fillId="6" borderId="1" xfId="0" applyFont="1" applyFill="1" applyBorder="1" applyAlignment="1" applyProtection="1">
      <alignment horizontal="center" vertical="center"/>
      <protection hidden="1"/>
    </xf>
    <xf numFmtId="0" fontId="8" fillId="6" borderId="1" xfId="0" applyFont="1" applyFill="1" applyBorder="1" applyAlignment="1" applyProtection="1">
      <alignment vertical="center"/>
      <protection hidden="1"/>
    </xf>
    <xf numFmtId="0" fontId="4" fillId="6" borderId="1" xfId="0" applyFont="1" applyFill="1" applyBorder="1" applyAlignment="1" applyProtection="1">
      <alignment horizontal="center" vertical="center"/>
      <protection hidden="1"/>
    </xf>
    <xf numFmtId="0" fontId="8" fillId="6" borderId="1" xfId="0" applyFont="1" applyFill="1" applyBorder="1" applyAlignment="1" applyProtection="1">
      <alignment horizontal="center" vertical="center"/>
      <protection hidden="1"/>
    </xf>
    <xf numFmtId="0" fontId="8" fillId="6" borderId="6" xfId="0" applyFont="1" applyFill="1" applyBorder="1" applyAlignment="1" applyProtection="1">
      <alignment horizontal="right" vertical="center"/>
      <protection hidden="1"/>
    </xf>
    <xf numFmtId="0" fontId="5" fillId="6" borderId="6" xfId="0" applyFont="1" applyFill="1" applyBorder="1" applyAlignment="1" applyProtection="1">
      <alignment horizontal="center" vertical="center"/>
      <protection hidden="1"/>
    </xf>
    <xf numFmtId="0" fontId="9" fillId="6" borderId="6" xfId="0" applyFont="1" applyFill="1" applyBorder="1" applyAlignment="1" applyProtection="1">
      <alignment horizontal="center" vertical="center"/>
      <protection hidden="1"/>
    </xf>
    <xf numFmtId="0" fontId="8" fillId="6" borderId="6" xfId="0" applyFont="1" applyFill="1" applyBorder="1" applyAlignment="1" applyProtection="1">
      <alignment horizontal="left" vertical="center"/>
      <protection hidden="1"/>
    </xf>
    <xf numFmtId="0" fontId="10" fillId="6" borderId="7" xfId="0" applyFont="1" applyFill="1" applyBorder="1" applyAlignment="1" applyProtection="1">
      <alignment horizontal="left" vertical="center"/>
      <protection hidden="1"/>
    </xf>
    <xf numFmtId="0" fontId="8" fillId="7" borderId="9" xfId="0" applyFont="1" applyFill="1" applyBorder="1" applyAlignment="1" applyProtection="1">
      <alignment horizontal="right" vertical="center"/>
      <protection hidden="1"/>
    </xf>
    <xf numFmtId="0" fontId="5" fillId="7" borderId="9" xfId="0" applyFont="1" applyFill="1" applyBorder="1" applyAlignment="1" applyProtection="1">
      <alignment horizontal="center" vertical="center"/>
      <protection hidden="1"/>
    </xf>
    <xf numFmtId="0" fontId="9" fillId="7" borderId="9" xfId="0" applyFont="1" applyFill="1" applyBorder="1" applyAlignment="1" applyProtection="1">
      <alignment horizontal="center" vertical="center"/>
      <protection hidden="1"/>
    </xf>
    <xf numFmtId="0" fontId="8" fillId="7" borderId="9" xfId="0" applyFont="1" applyFill="1" applyBorder="1" applyAlignment="1" applyProtection="1">
      <alignment horizontal="left" vertical="center"/>
      <protection hidden="1"/>
    </xf>
    <xf numFmtId="0" fontId="10" fillId="7" borderId="10" xfId="0" applyFont="1" applyFill="1" applyBorder="1" applyAlignment="1" applyProtection="1">
      <alignment horizontal="left" vertical="center"/>
      <protection hidden="1"/>
    </xf>
    <xf numFmtId="0" fontId="17" fillId="6" borderId="29" xfId="0" applyFont="1" applyFill="1" applyBorder="1" applyAlignment="1" applyProtection="1">
      <alignment horizontal="center" vertical="center"/>
      <protection hidden="1"/>
    </xf>
    <xf numFmtId="0" fontId="17" fillId="6" borderId="5" xfId="0" applyFont="1" applyFill="1" applyBorder="1" applyAlignment="1" applyProtection="1">
      <alignment horizontal="center" vertical="center"/>
      <protection hidden="1"/>
    </xf>
    <xf numFmtId="0" fontId="16" fillId="6" borderId="7" xfId="0" applyFont="1" applyFill="1" applyBorder="1" applyAlignment="1" applyProtection="1">
      <alignment vertical="center"/>
      <protection hidden="1"/>
    </xf>
    <xf numFmtId="0" fontId="17" fillId="6" borderId="30" xfId="0" applyFont="1" applyFill="1" applyBorder="1" applyAlignment="1" applyProtection="1">
      <alignment horizontal="center" vertical="center"/>
      <protection hidden="1"/>
    </xf>
    <xf numFmtId="0" fontId="17" fillId="6" borderId="8" xfId="0" applyFont="1" applyFill="1" applyBorder="1" applyAlignment="1" applyProtection="1">
      <alignment horizontal="center" vertical="center"/>
      <protection hidden="1"/>
    </xf>
    <xf numFmtId="0" fontId="16" fillId="6" borderId="10" xfId="0" applyFont="1" applyFill="1" applyBorder="1" applyAlignment="1" applyProtection="1">
      <alignment vertical="center"/>
      <protection hidden="1"/>
    </xf>
    <xf numFmtId="0" fontId="14" fillId="4" borderId="0" xfId="0" applyFont="1" applyFill="1" applyBorder="1" applyProtection="1">
      <protection hidden="1"/>
    </xf>
    <xf numFmtId="0" fontId="14" fillId="4" borderId="0" xfId="0" applyFont="1" applyFill="1" applyBorder="1" applyAlignment="1" applyProtection="1">
      <alignment horizontal="center"/>
      <protection hidden="1"/>
    </xf>
    <xf numFmtId="0" fontId="17" fillId="6" borderId="5" xfId="0" applyFont="1" applyFill="1" applyBorder="1" applyAlignment="1" applyProtection="1">
      <alignment horizontal="right" vertical="center"/>
      <protection hidden="1"/>
    </xf>
    <xf numFmtId="0" fontId="17" fillId="6" borderId="8" xfId="0" applyFont="1" applyFill="1" applyBorder="1" applyAlignment="1" applyProtection="1">
      <alignment horizontal="right" vertical="center"/>
      <protection hidden="1"/>
    </xf>
    <xf numFmtId="0" fontId="0" fillId="12" borderId="0" xfId="0" applyFill="1" applyAlignment="1" applyProtection="1">
      <alignment horizontal="center"/>
      <protection hidden="1"/>
    </xf>
    <xf numFmtId="22" fontId="10" fillId="6" borderId="5" xfId="0" applyNumberFormat="1" applyFont="1" applyFill="1" applyBorder="1" applyAlignment="1" applyProtection="1">
      <alignment horizontal="center" vertical="center"/>
      <protection hidden="1"/>
    </xf>
    <xf numFmtId="22" fontId="10" fillId="7" borderId="8" xfId="0" applyNumberFormat="1" applyFont="1" applyFill="1" applyBorder="1" applyAlignment="1" applyProtection="1">
      <alignment horizontal="center" vertical="center"/>
      <protection hidden="1"/>
    </xf>
    <xf numFmtId="0" fontId="10" fillId="9" borderId="1" xfId="0" applyFont="1" applyFill="1" applyBorder="1" applyAlignment="1" applyProtection="1">
      <alignment horizontal="center" vertical="center"/>
      <protection hidden="1"/>
    </xf>
    <xf numFmtId="0" fontId="10" fillId="6" borderId="1" xfId="0" applyFont="1" applyFill="1" applyBorder="1" applyAlignment="1" applyProtection="1">
      <alignment horizontal="center" vertical="center"/>
      <protection hidden="1"/>
    </xf>
    <xf numFmtId="0" fontId="10" fillId="9" borderId="2" xfId="0" applyFont="1" applyFill="1" applyBorder="1" applyAlignment="1" applyProtection="1">
      <alignment horizontal="center" vertical="center"/>
      <protection hidden="1"/>
    </xf>
    <xf numFmtId="0" fontId="10" fillId="6" borderId="2" xfId="0" applyFont="1" applyFill="1" applyBorder="1" applyAlignment="1" applyProtection="1">
      <alignment horizontal="center" vertical="center"/>
      <protection hidden="1"/>
    </xf>
    <xf numFmtId="0" fontId="3" fillId="6" borderId="1" xfId="0" applyFont="1" applyFill="1" applyBorder="1" applyAlignment="1" applyProtection="1">
      <alignment horizontal="center"/>
      <protection hidden="1"/>
    </xf>
    <xf numFmtId="0" fontId="21" fillId="6" borderId="1" xfId="0" applyFont="1" applyFill="1" applyBorder="1" applyAlignment="1" applyProtection="1">
      <alignment horizontal="center"/>
      <protection hidden="1"/>
    </xf>
    <xf numFmtId="0" fontId="3" fillId="4" borderId="1" xfId="0" applyFont="1" applyFill="1" applyBorder="1" applyAlignment="1" applyProtection="1">
      <alignment horizontal="center"/>
      <protection locked="0"/>
    </xf>
    <xf numFmtId="22" fontId="0" fillId="12" borderId="0" xfId="0" applyNumberFormat="1" applyFill="1" applyAlignment="1">
      <alignment horizontal="center"/>
    </xf>
    <xf numFmtId="0" fontId="11" fillId="6" borderId="1" xfId="0" applyFont="1" applyFill="1" applyBorder="1" applyAlignment="1" applyProtection="1">
      <alignment horizontal="center"/>
      <protection hidden="1"/>
    </xf>
    <xf numFmtId="22" fontId="11" fillId="6" borderId="1" xfId="0" applyNumberFormat="1" applyFont="1" applyFill="1" applyBorder="1" applyAlignment="1" applyProtection="1">
      <alignment horizontal="center"/>
      <protection hidden="1"/>
    </xf>
    <xf numFmtId="0" fontId="11" fillId="4" borderId="1" xfId="0" applyFont="1" applyFill="1" applyBorder="1" applyAlignment="1" applyProtection="1">
      <alignment horizontal="center"/>
      <protection locked="0"/>
    </xf>
    <xf numFmtId="0" fontId="11" fillId="6" borderId="31" xfId="0" applyFont="1" applyFill="1" applyBorder="1" applyAlignment="1" applyProtection="1">
      <alignment horizontal="center"/>
    </xf>
    <xf numFmtId="0" fontId="20" fillId="12" borderId="0" xfId="2" applyFill="1" applyAlignment="1">
      <alignment horizontal="center"/>
    </xf>
    <xf numFmtId="0" fontId="20" fillId="12" borderId="0" xfId="2" applyFill="1" applyAlignment="1" applyProtection="1">
      <alignment horizontal="center"/>
      <protection locked="0" hidden="1"/>
    </xf>
    <xf numFmtId="0" fontId="12" fillId="5" borderId="1" xfId="0" applyFont="1" applyFill="1" applyBorder="1"/>
    <xf numFmtId="0" fontId="14" fillId="6" borderId="0" xfId="0" applyFont="1" applyFill="1" applyBorder="1" applyAlignment="1">
      <alignment horizontal="left" vertical="top" wrapText="1"/>
    </xf>
    <xf numFmtId="0" fontId="14" fillId="6" borderId="0" xfId="0" applyFont="1" applyFill="1" applyBorder="1" applyAlignment="1">
      <alignment horizontal="center" vertical="top" wrapText="1"/>
    </xf>
    <xf numFmtId="0" fontId="12" fillId="5" borderId="2" xfId="0" applyFont="1" applyFill="1" applyBorder="1" applyAlignment="1">
      <alignment horizontal="left"/>
    </xf>
    <xf numFmtId="0" fontId="12" fillId="5" borderId="3" xfId="0" applyFont="1" applyFill="1" applyBorder="1" applyAlignment="1">
      <alignment horizontal="left"/>
    </xf>
    <xf numFmtId="0" fontId="12" fillId="5" borderId="4" xfId="0" applyFont="1" applyFill="1" applyBorder="1" applyAlignment="1">
      <alignment horizontal="left"/>
    </xf>
    <xf numFmtId="0" fontId="14" fillId="6" borderId="11" xfId="0" applyFont="1" applyFill="1" applyBorder="1" applyAlignment="1">
      <alignment horizontal="left" vertical="top" wrapText="1"/>
    </xf>
    <xf numFmtId="0" fontId="14" fillId="6" borderId="12" xfId="0" applyFont="1" applyFill="1" applyBorder="1" applyAlignment="1">
      <alignment horizontal="left" vertical="top" wrapText="1"/>
    </xf>
    <xf numFmtId="0" fontId="14" fillId="6" borderId="13" xfId="0" applyFont="1" applyFill="1" applyBorder="1" applyAlignment="1">
      <alignment horizontal="left" vertical="top" wrapText="1"/>
    </xf>
    <xf numFmtId="0" fontId="14" fillId="6" borderId="14" xfId="0" applyFont="1" applyFill="1" applyBorder="1" applyAlignment="1">
      <alignment horizontal="right" vertical="top" wrapText="1"/>
    </xf>
    <xf numFmtId="0" fontId="14" fillId="6" borderId="15" xfId="0" applyFont="1" applyFill="1" applyBorder="1" applyAlignment="1">
      <alignment horizontal="left" vertical="top" wrapText="1"/>
    </xf>
    <xf numFmtId="0" fontId="0" fillId="6" borderId="0" xfId="0" applyFill="1" applyBorder="1"/>
    <xf numFmtId="0" fontId="0" fillId="6" borderId="14" xfId="0" applyFill="1" applyBorder="1"/>
    <xf numFmtId="0" fontId="0" fillId="6" borderId="15" xfId="0" applyFill="1" applyBorder="1"/>
    <xf numFmtId="0" fontId="14" fillId="6" borderId="14" xfId="0" applyFont="1" applyFill="1" applyBorder="1" applyAlignment="1">
      <alignment horizontal="left" wrapText="1"/>
    </xf>
    <xf numFmtId="0" fontId="14" fillId="6" borderId="0" xfId="0" applyFont="1" applyFill="1" applyBorder="1" applyAlignment="1">
      <alignment horizontal="left" wrapText="1"/>
    </xf>
    <xf numFmtId="0" fontId="14" fillId="6" borderId="15" xfId="0" applyFont="1" applyFill="1" applyBorder="1" applyAlignment="1">
      <alignment horizontal="left" wrapText="1"/>
    </xf>
    <xf numFmtId="0" fontId="14" fillId="6" borderId="16" xfId="0" applyFont="1" applyFill="1" applyBorder="1" applyAlignment="1">
      <alignment horizontal="left" wrapText="1"/>
    </xf>
    <xf numFmtId="0" fontId="14" fillId="6" borderId="17" xfId="0" applyFont="1" applyFill="1" applyBorder="1" applyAlignment="1">
      <alignment horizontal="left" wrapText="1"/>
    </xf>
    <xf numFmtId="0" fontId="14" fillId="6" borderId="18" xfId="0" applyFont="1" applyFill="1" applyBorder="1" applyAlignment="1">
      <alignment horizontal="left" wrapText="1"/>
    </xf>
    <xf numFmtId="0" fontId="0" fillId="12" borderId="0" xfId="0" applyFill="1" applyProtection="1">
      <protection hidden="1"/>
    </xf>
    <xf numFmtId="0" fontId="14" fillId="12" borderId="0" xfId="0" applyFont="1" applyFill="1" applyProtection="1">
      <protection hidden="1"/>
    </xf>
    <xf numFmtId="0" fontId="14" fillId="12" borderId="0" xfId="0" applyFont="1" applyFill="1" applyAlignment="1" applyProtection="1">
      <alignment horizontal="center"/>
      <protection hidden="1"/>
    </xf>
    <xf numFmtId="0" fontId="19" fillId="12" borderId="0" xfId="0" applyFont="1" applyFill="1" applyAlignment="1" applyProtection="1">
      <alignment horizontal="center"/>
      <protection hidden="1"/>
    </xf>
    <xf numFmtId="0" fontId="19" fillId="12" borderId="0" xfId="0" applyFont="1" applyFill="1" applyAlignment="1" applyProtection="1">
      <alignment horizontal="center"/>
      <protection hidden="1"/>
    </xf>
    <xf numFmtId="0" fontId="14" fillId="4" borderId="0" xfId="0" applyFont="1" applyFill="1" applyProtection="1">
      <protection hidden="1"/>
    </xf>
    <xf numFmtId="0" fontId="14" fillId="4" borderId="0" xfId="0" applyFont="1" applyFill="1" applyAlignment="1" applyProtection="1">
      <alignment horizontal="center"/>
      <protection hidden="1"/>
    </xf>
    <xf numFmtId="0" fontId="0" fillId="12" borderId="21" xfId="0" applyFill="1" applyBorder="1" applyProtection="1">
      <protection hidden="1"/>
    </xf>
    <xf numFmtId="0" fontId="0" fillId="12" borderId="23" xfId="0" applyFill="1" applyBorder="1" applyProtection="1">
      <protection hidden="1"/>
    </xf>
    <xf numFmtId="0" fontId="0" fillId="12" borderId="22" xfId="0" applyFill="1" applyBorder="1" applyProtection="1">
      <protection hidden="1"/>
    </xf>
    <xf numFmtId="0" fontId="0" fillId="12" borderId="24" xfId="0" applyFill="1" applyBorder="1" applyAlignment="1" applyProtection="1">
      <protection hidden="1"/>
    </xf>
    <xf numFmtId="0" fontId="0" fillId="12" borderId="25" xfId="0" applyFill="1" applyBorder="1" applyAlignment="1" applyProtection="1">
      <protection hidden="1"/>
    </xf>
    <xf numFmtId="0" fontId="0" fillId="12" borderId="23" xfId="0" applyFill="1" applyBorder="1" applyAlignment="1" applyProtection="1">
      <protection hidden="1"/>
    </xf>
    <xf numFmtId="0" fontId="0" fillId="12" borderId="22" xfId="0" applyFill="1" applyBorder="1" applyAlignment="1" applyProtection="1">
      <protection hidden="1"/>
    </xf>
    <xf numFmtId="0" fontId="0" fillId="12" borderId="0" xfId="0" applyFill="1" applyBorder="1" applyAlignment="1" applyProtection="1">
      <protection hidden="1"/>
    </xf>
    <xf numFmtId="0" fontId="0" fillId="12" borderId="26" xfId="0" applyFill="1" applyBorder="1" applyProtection="1">
      <protection hidden="1"/>
    </xf>
    <xf numFmtId="0" fontId="0" fillId="12" borderId="28" xfId="0" applyFill="1" applyBorder="1" applyProtection="1">
      <protection hidden="1"/>
    </xf>
    <xf numFmtId="0" fontId="0" fillId="12" borderId="27" xfId="0" applyFill="1" applyBorder="1" applyProtection="1">
      <protection hidden="1"/>
    </xf>
    <xf numFmtId="0" fontId="0" fillId="12" borderId="19" xfId="0" applyFill="1" applyBorder="1" applyProtection="1">
      <protection hidden="1"/>
    </xf>
    <xf numFmtId="0" fontId="0" fillId="12" borderId="0" xfId="0" applyFill="1" applyBorder="1" applyProtection="1">
      <protection hidden="1"/>
    </xf>
    <xf numFmtId="0" fontId="0" fillId="12" borderId="20" xfId="0" applyFill="1" applyBorder="1" applyProtection="1">
      <protection hidden="1"/>
    </xf>
    <xf numFmtId="0" fontId="0" fillId="4" borderId="0" xfId="0" applyFill="1" applyBorder="1" applyProtection="1">
      <protection hidden="1"/>
    </xf>
    <xf numFmtId="0" fontId="0" fillId="12" borderId="21" xfId="0" applyFill="1" applyBorder="1" applyAlignment="1" applyProtection="1">
      <alignment horizontal="center"/>
      <protection hidden="1"/>
    </xf>
    <xf numFmtId="0" fontId="0" fillId="12" borderId="23" xfId="0" applyFill="1" applyBorder="1" applyAlignment="1" applyProtection="1">
      <alignment horizontal="center"/>
      <protection hidden="1"/>
    </xf>
    <xf numFmtId="0" fontId="0" fillId="12" borderId="22" xfId="0" applyFill="1" applyBorder="1" applyAlignment="1" applyProtection="1">
      <alignment horizontal="center"/>
      <protection hidden="1"/>
    </xf>
    <xf numFmtId="0" fontId="0" fillId="12" borderId="0" xfId="0" applyFill="1" applyBorder="1" applyAlignment="1" applyProtection="1">
      <alignment horizontal="center"/>
      <protection hidden="1"/>
    </xf>
    <xf numFmtId="0" fontId="15" fillId="4" borderId="0" xfId="0" applyFont="1" applyFill="1" applyBorder="1" applyAlignment="1" applyProtection="1">
      <alignment horizontal="center" vertical="center"/>
      <protection hidden="1"/>
    </xf>
    <xf numFmtId="0" fontId="23" fillId="6" borderId="1" xfId="2" applyFont="1" applyFill="1" applyBorder="1" applyProtection="1">
      <protection locked="0" hidden="1"/>
    </xf>
    <xf numFmtId="0" fontId="0" fillId="12" borderId="0" xfId="0" applyFill="1" applyAlignment="1" applyProtection="1">
      <alignment horizontal="center"/>
      <protection hidden="1"/>
    </xf>
    <xf numFmtId="0" fontId="24" fillId="12" borderId="0" xfId="0" applyFont="1" applyFill="1" applyAlignment="1" applyProtection="1">
      <alignment horizontal="center" vertical="center"/>
      <protection hidden="1"/>
    </xf>
    <xf numFmtId="0" fontId="5" fillId="12" borderId="0" xfId="0" applyFont="1" applyFill="1" applyAlignment="1" applyProtection="1">
      <alignment horizontal="center" vertical="center"/>
      <protection hidden="1"/>
    </xf>
    <xf numFmtId="0" fontId="0" fillId="12" borderId="0" xfId="0" applyFill="1" applyAlignment="1">
      <alignment horizontal="left" wrapText="1"/>
    </xf>
    <xf numFmtId="0" fontId="5" fillId="5" borderId="1" xfId="0" applyFont="1" applyFill="1" applyBorder="1" applyAlignment="1">
      <alignment horizontal="center" vertical="center"/>
    </xf>
    <xf numFmtId="0" fontId="5" fillId="5" borderId="1" xfId="0" applyFont="1" applyFill="1" applyBorder="1" applyAlignment="1">
      <alignment vertical="center"/>
    </xf>
    <xf numFmtId="0" fontId="22" fillId="5" borderId="1" xfId="0" applyFont="1" applyFill="1" applyBorder="1" applyAlignment="1">
      <alignment horizontal="center" wrapText="1"/>
    </xf>
    <xf numFmtId="22" fontId="22" fillId="5" borderId="1" xfId="0" applyNumberFormat="1" applyFont="1" applyFill="1" applyBorder="1" applyAlignment="1">
      <alignment horizontal="center" wrapText="1"/>
    </xf>
    <xf numFmtId="0" fontId="0" fillId="12" borderId="0" xfId="0" applyFill="1" applyAlignment="1">
      <alignment horizontal="center" wrapText="1"/>
    </xf>
    <xf numFmtId="0" fontId="12" fillId="5" borderId="1" xfId="0" applyFont="1" applyFill="1" applyBorder="1" applyAlignment="1">
      <alignment horizontal="center" wrapText="1"/>
    </xf>
    <xf numFmtId="0" fontId="18" fillId="4" borderId="0" xfId="0" applyFont="1" applyFill="1" applyBorder="1" applyAlignment="1" applyProtection="1">
      <alignment horizontal="left" vertical="center"/>
      <protection hidden="1"/>
    </xf>
  </cellXfs>
  <cellStyles count="3">
    <cellStyle name="Hyperlink" xfId="2" builtinId="8"/>
    <cellStyle name="Normal" xfId="0" builtinId="0"/>
    <cellStyle name="Percent" xfId="1" builtinId="5"/>
  </cellStyles>
  <dxfs count="917">
    <dxf>
      <font>
        <color theme="0"/>
      </font>
      <fill>
        <patternFill>
          <bgColor theme="4" tint="-0.24994659260841701"/>
        </patternFill>
      </fill>
    </dxf>
    <dxf>
      <fill>
        <patternFill>
          <bgColor theme="8" tint="0.79998168889431442"/>
        </patternFill>
      </fill>
    </dxf>
    <dxf>
      <font>
        <color theme="0"/>
      </font>
      <fill>
        <patternFill>
          <bgColor theme="9" tint="-0.24994659260841701"/>
        </patternFill>
      </fill>
    </dxf>
    <dxf>
      <fill>
        <gradientFill degree="270">
          <stop position="0">
            <color theme="4" tint="0.80001220740379042"/>
          </stop>
          <stop position="1">
            <color theme="4" tint="0.59999389629810485"/>
          </stop>
        </gradientFill>
      </fill>
      <border>
        <left style="thin">
          <color theme="4"/>
        </left>
        <right style="thin">
          <color theme="4"/>
        </right>
        <bottom style="thin">
          <color theme="4"/>
        </bottom>
        <vertical/>
        <horizontal/>
      </border>
    </dxf>
    <dxf>
      <fill>
        <gradientFill degree="90">
          <stop position="0">
            <color theme="4" tint="0.59999389629810485"/>
          </stop>
          <stop position="0.5">
            <color theme="4"/>
          </stop>
          <stop position="1">
            <color theme="4" tint="0.59999389629810485"/>
          </stop>
        </gradientFill>
      </fill>
      <border>
        <right style="thin">
          <color theme="4"/>
        </right>
        <vertical/>
        <horizontal/>
      </border>
    </dxf>
    <dxf>
      <fill>
        <gradientFill degree="90">
          <stop position="0">
            <color theme="4" tint="0.80001220740379042"/>
          </stop>
          <stop position="1">
            <color theme="4" tint="0.59999389629810485"/>
          </stop>
        </gradientFill>
      </fill>
      <border>
        <left style="thin">
          <color theme="4"/>
        </left>
        <right style="thin">
          <color theme="4"/>
        </right>
        <top style="thin">
          <color theme="4"/>
        </top>
        <vertical/>
        <horizontal/>
      </border>
    </dxf>
    <dxf>
      <font>
        <strike val="0"/>
        <color theme="0"/>
      </font>
      <fill>
        <gradientFill degree="90">
          <stop position="0">
            <color theme="4" tint="0.59999389629810485"/>
          </stop>
          <stop position="0.5">
            <color theme="4"/>
          </stop>
          <stop position="1">
            <color theme="4" tint="0.59999389629810485"/>
          </stop>
        </gradientFill>
      </fill>
    </dxf>
    <dxf>
      <fill>
        <gradientFill degree="90">
          <stop position="0">
            <color theme="4" tint="0.59999389629810485"/>
          </stop>
          <stop position="0.5">
            <color theme="4"/>
          </stop>
          <stop position="1">
            <color theme="4" tint="0.59999389629810485"/>
          </stop>
        </gradientFill>
      </fill>
      <border>
        <left style="thin">
          <color theme="4"/>
        </left>
        <right/>
        <top/>
        <bottom/>
        <vertical/>
        <horizontal/>
      </border>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ill>
        <patternFill>
          <bgColor theme="4" tint="0.79998168889431442"/>
        </patternFill>
      </fill>
    </dxf>
    <dxf>
      <font>
        <color theme="0" tint="-4.9989318521683403E-2"/>
      </font>
      <fill>
        <patternFill>
          <bgColor theme="4" tint="-0.24994659260841701"/>
        </patternFill>
      </fill>
    </dxf>
    <dxf>
      <font>
        <color theme="0" tint="-4.9989318521683403E-2"/>
      </font>
      <fill>
        <patternFill>
          <bgColor theme="9" tint="-0.24994659260841701"/>
        </patternFill>
      </fill>
    </dxf>
    <dxf>
      <fill>
        <patternFill>
          <bgColor theme="4" tint="0.79998168889431442"/>
        </patternFill>
      </fill>
    </dxf>
    <dxf>
      <font>
        <color theme="0"/>
      </font>
      <fill>
        <patternFill>
          <bgColor theme="4" tint="-0.24994659260841701"/>
        </patternFill>
      </fill>
    </dxf>
    <dxf>
      <font>
        <color theme="0"/>
      </font>
      <fill>
        <patternFill>
          <bgColor theme="9" tint="-0.24994659260841701"/>
        </patternFill>
      </fill>
    </dxf>
    <dxf>
      <fill>
        <patternFill>
          <bgColor theme="4" tint="0.79998168889431442"/>
        </patternFill>
      </fill>
    </dxf>
    <dxf>
      <font>
        <color theme="0"/>
      </font>
      <fill>
        <patternFill>
          <bgColor theme="4" tint="-0.24994659260841701"/>
        </patternFill>
      </fill>
    </dxf>
    <dxf>
      <font>
        <color theme="0"/>
      </font>
      <fill>
        <patternFill>
          <bgColor theme="9" tint="-0.24994659260841701"/>
        </patternFill>
      </fill>
    </dxf>
    <dxf>
      <fill>
        <patternFill>
          <bgColor theme="4" tint="0.79998168889431442"/>
        </patternFill>
      </fill>
    </dxf>
    <dxf>
      <font>
        <color theme="0"/>
      </font>
      <fill>
        <patternFill>
          <bgColor theme="4" tint="-0.24994659260841701"/>
        </patternFill>
      </fill>
    </dxf>
    <dxf>
      <font>
        <color theme="0"/>
      </font>
      <fill>
        <patternFill>
          <bgColor theme="9" tint="-0.24994659260841701"/>
        </patternFill>
      </fill>
    </dxf>
    <dxf>
      <fill>
        <patternFill>
          <bgColor theme="4" tint="0.79998168889431442"/>
        </patternFill>
      </fill>
    </dxf>
    <dxf>
      <font>
        <color theme="0"/>
      </font>
      <fill>
        <patternFill>
          <bgColor theme="4" tint="-0.24994659260841701"/>
        </patternFill>
      </fill>
    </dxf>
    <dxf>
      <fill>
        <patternFill>
          <bgColor theme="4" tint="0.79998168889431442"/>
        </patternFill>
      </fill>
    </dxf>
    <dxf>
      <font>
        <color theme="0"/>
      </font>
      <fill>
        <patternFill>
          <bgColor theme="4" tint="-0.24994659260841701"/>
        </patternFill>
      </fill>
    </dxf>
    <dxf>
      <fill>
        <patternFill>
          <bgColor theme="4" tint="0.79998168889431442"/>
        </patternFill>
      </fill>
    </dxf>
    <dxf>
      <font>
        <color theme="0"/>
      </font>
      <fill>
        <patternFill>
          <bgColor theme="4" tint="-0.24994659260841701"/>
        </patternFill>
      </fill>
    </dxf>
    <dxf>
      <fill>
        <patternFill>
          <bgColor theme="4" tint="0.79998168889431442"/>
        </patternFill>
      </fill>
    </dxf>
    <dxf>
      <font>
        <color theme="0"/>
      </font>
      <fill>
        <patternFill>
          <bgColor theme="4" tint="-0.24994659260841701"/>
        </patternFill>
      </fill>
    </dxf>
    <dxf>
      <fill>
        <patternFill>
          <bgColor theme="4" tint="0.79998168889431442"/>
        </patternFill>
      </fill>
    </dxf>
    <dxf>
      <font>
        <color theme="0" tint="-4.9989318521683403E-2"/>
      </font>
      <fill>
        <patternFill>
          <bgColor theme="4" tint="-0.24994659260841701"/>
        </patternFill>
      </fill>
    </dxf>
    <dxf>
      <font>
        <color theme="0"/>
      </font>
      <fill>
        <patternFill>
          <bgColor theme="9" tint="-0.24994659260841701"/>
        </patternFill>
      </fill>
    </dxf>
    <dxf>
      <font>
        <color theme="0" tint="-4.9989318521683403E-2"/>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fgColor indexed="64"/>
          <bgColor theme="0" tint="-0.249977111117893"/>
        </patternFill>
      </fill>
      <alignment horizontal="center" vertical="bottom" textRotation="0" wrapText="1" indent="0" justifyLastLine="0" shrinkToFit="0" readingOrder="0"/>
    </dxf>
    <dxf>
      <fill>
        <patternFill>
          <fgColor indexed="64"/>
          <bgColor theme="0" tint="-0.249977111117893"/>
        </patternFill>
      </fill>
      <alignment horizontal="center" vertical="bottom" textRotation="0" wrapText="1" indent="0" justifyLastLine="0" shrinkToFit="0" readingOrder="0"/>
    </dxf>
    <dxf>
      <fill>
        <patternFill>
          <fgColor indexed="64"/>
          <bgColor theme="0" tint="-0.249977111117893"/>
        </patternFill>
      </fill>
      <alignment horizontal="center" vertical="bottom" textRotation="0" wrapText="1" indent="0" justifyLastLine="0" shrinkToFit="0" readingOrder="0"/>
    </dxf>
    <dxf>
      <fill>
        <patternFill>
          <fgColor indexed="64"/>
          <bgColor theme="0" tint="-0.249977111117893"/>
        </patternFill>
      </fill>
      <alignment horizontal="center" vertical="bottom" textRotation="0" wrapText="1" indent="0" justifyLastLine="0" shrinkToFit="0" readingOrder="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0"/>
        <color theme="1"/>
        <name val="Segoe UI Light"/>
        <family val="2"/>
        <scheme val="none"/>
      </font>
      <numFmt numFmtId="27" formatCode="dd/mm/yyyy\ hh:mm"/>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0"/>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numFmt numFmtId="0" formatCode="General"/>
      <fill>
        <patternFill patternType="solid">
          <fgColor indexed="64"/>
          <bgColor theme="0" tint="-0.249977111117893"/>
        </patternFill>
      </fill>
      <border outline="0">
        <right style="thin">
          <color theme="1" tint="0.499984740745262"/>
        </right>
      </border>
    </dxf>
    <dxf>
      <fill>
        <patternFill patternType="solid">
          <fgColor indexed="64"/>
          <bgColor theme="0" tint="-0.249977111117893"/>
        </patternFill>
      </fill>
      <alignment horizontal="left" vertical="bottom" textRotation="0" wrapText="1" indent="0" justifyLastLine="0" shrinkToFit="0" readingOrder="0"/>
    </dxf>
    <dxf>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fill>
        <patternFill patternType="solid">
          <fgColor indexed="64"/>
          <bgColor theme="0" tint="-0.249977111117893"/>
        </patternFill>
      </fill>
      <alignment horizontal="center" vertical="bottom" textRotation="0" wrapText="0" indent="0" justifyLastLine="0" shrinkToFit="0" readingOrder="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1" hidden="1"/>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5" formatCode="hh:mm"/>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5" formatCode="hh:mm"/>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30</xdr:col>
      <xdr:colOff>11207</xdr:colOff>
      <xdr:row>40</xdr:row>
      <xdr:rowOff>0</xdr:rowOff>
    </xdr:to>
    <xdr:sp macro="" textlink="">
      <xdr:nvSpPr>
        <xdr:cNvPr id="3" name="Rectangle 2">
          <a:extLst>
            <a:ext uri="{FF2B5EF4-FFF2-40B4-BE49-F238E27FC236}">
              <a16:creationId xmlns:a16="http://schemas.microsoft.com/office/drawing/2014/main" id="{5D5047D5-AF63-4573-A70F-47D51B28A9FA}"/>
            </a:ext>
          </a:extLst>
        </xdr:cNvPr>
        <xdr:cNvSpPr/>
      </xdr:nvSpPr>
      <xdr:spPr>
        <a:xfrm>
          <a:off x="605118" y="952500"/>
          <a:ext cx="14421971" cy="7048500"/>
        </a:xfrm>
        <a:prstGeom prst="rect">
          <a:avLst/>
        </a:prstGeom>
        <a:noFill/>
        <a:ln>
          <a:solidFill>
            <a:schemeClr val="accent3"/>
          </a:solidFill>
        </a:ln>
        <a:effectLst>
          <a:outerShdw blurRad="1524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18</xdr:col>
      <xdr:colOff>1139799</xdr:colOff>
      <xdr:row>0</xdr:row>
      <xdr:rowOff>102213</xdr:rowOff>
    </xdr:from>
    <xdr:ext cx="6909226" cy="414618"/>
    <xdr:sp macro="" textlink="">
      <xdr:nvSpPr>
        <xdr:cNvPr id="5" name="Rectangle 4">
          <a:extLst>
            <a:ext uri="{FF2B5EF4-FFF2-40B4-BE49-F238E27FC236}">
              <a16:creationId xmlns:a16="http://schemas.microsoft.com/office/drawing/2014/main" id="{78DEDDE9-8987-410B-91FF-EF9719C1BE2C}"/>
            </a:ext>
          </a:extLst>
        </xdr:cNvPr>
        <xdr:cNvSpPr/>
      </xdr:nvSpPr>
      <xdr:spPr>
        <a:xfrm>
          <a:off x="3374572" y="102213"/>
          <a:ext cx="6909226" cy="41461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chor="t">
          <a:noAutofit/>
        </a:bodyPr>
        <a:lstStyle/>
        <a:p>
          <a:pPr algn="ctr"/>
          <a:r>
            <a:rPr lang="en-US" sz="18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18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18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Stage Input</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0</xdr:rowOff>
    </xdr:from>
    <xdr:to>
      <xdr:col>36</xdr:col>
      <xdr:colOff>1228725</xdr:colOff>
      <xdr:row>13</xdr:row>
      <xdr:rowOff>0</xdr:rowOff>
    </xdr:to>
    <xdr:sp macro="" textlink="">
      <xdr:nvSpPr>
        <xdr:cNvPr id="7" name="Rectangle 6">
          <a:extLst>
            <a:ext uri="{FF2B5EF4-FFF2-40B4-BE49-F238E27FC236}">
              <a16:creationId xmlns:a16="http://schemas.microsoft.com/office/drawing/2014/main" id="{39A0B398-457B-4B38-A13E-F72B0FA1E64C}"/>
            </a:ext>
          </a:extLst>
        </xdr:cNvPr>
        <xdr:cNvSpPr/>
      </xdr:nvSpPr>
      <xdr:spPr>
        <a:xfrm>
          <a:off x="609600" y="990600"/>
          <a:ext cx="14392275" cy="1885950"/>
        </a:xfrm>
        <a:prstGeom prst="rect">
          <a:avLst/>
        </a:prstGeom>
        <a:noFill/>
        <a:ln>
          <a:solidFill>
            <a:schemeClr val="accent3"/>
          </a:solidFill>
        </a:ln>
        <a:effectLst>
          <a:outerShdw blurRad="1524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15</xdr:row>
      <xdr:rowOff>0</xdr:rowOff>
    </xdr:from>
    <xdr:to>
      <xdr:col>36</xdr:col>
      <xdr:colOff>1228725</xdr:colOff>
      <xdr:row>19</xdr:row>
      <xdr:rowOff>200025</xdr:rowOff>
    </xdr:to>
    <xdr:sp macro="" textlink="">
      <xdr:nvSpPr>
        <xdr:cNvPr id="8" name="Rectangle 7">
          <a:extLst>
            <a:ext uri="{FF2B5EF4-FFF2-40B4-BE49-F238E27FC236}">
              <a16:creationId xmlns:a16="http://schemas.microsoft.com/office/drawing/2014/main" id="{0750CECC-5A6E-4D43-BB9A-3632E7747517}"/>
            </a:ext>
          </a:extLst>
        </xdr:cNvPr>
        <xdr:cNvSpPr/>
      </xdr:nvSpPr>
      <xdr:spPr>
        <a:xfrm>
          <a:off x="609600" y="3257550"/>
          <a:ext cx="14392275" cy="1038225"/>
        </a:xfrm>
        <a:prstGeom prst="rect">
          <a:avLst/>
        </a:prstGeom>
        <a:noFill/>
        <a:ln>
          <a:solidFill>
            <a:schemeClr val="accent3"/>
          </a:solidFill>
        </a:ln>
        <a:effectLst>
          <a:outerShdw blurRad="1524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22</xdr:row>
      <xdr:rowOff>0</xdr:rowOff>
    </xdr:from>
    <xdr:to>
      <xdr:col>36</xdr:col>
      <xdr:colOff>1228725</xdr:colOff>
      <xdr:row>24</xdr:row>
      <xdr:rowOff>200025</xdr:rowOff>
    </xdr:to>
    <xdr:sp macro="" textlink="">
      <xdr:nvSpPr>
        <xdr:cNvPr id="9" name="Rectangle 8">
          <a:extLst>
            <a:ext uri="{FF2B5EF4-FFF2-40B4-BE49-F238E27FC236}">
              <a16:creationId xmlns:a16="http://schemas.microsoft.com/office/drawing/2014/main" id="{BE376E14-9DD9-4D1F-99BA-32014E9A99A5}"/>
            </a:ext>
          </a:extLst>
        </xdr:cNvPr>
        <xdr:cNvSpPr/>
      </xdr:nvSpPr>
      <xdr:spPr>
        <a:xfrm>
          <a:off x="609600" y="4686300"/>
          <a:ext cx="14392275" cy="619125"/>
        </a:xfrm>
        <a:prstGeom prst="rect">
          <a:avLst/>
        </a:prstGeom>
        <a:noFill/>
        <a:ln>
          <a:solidFill>
            <a:schemeClr val="accent3"/>
          </a:solidFill>
        </a:ln>
        <a:effectLst>
          <a:outerShdw blurRad="1524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27</xdr:row>
      <xdr:rowOff>0</xdr:rowOff>
    </xdr:from>
    <xdr:to>
      <xdr:col>36</xdr:col>
      <xdr:colOff>1228725</xdr:colOff>
      <xdr:row>28</xdr:row>
      <xdr:rowOff>200025</xdr:rowOff>
    </xdr:to>
    <xdr:sp macro="" textlink="">
      <xdr:nvSpPr>
        <xdr:cNvPr id="10" name="Rectangle 9">
          <a:extLst>
            <a:ext uri="{FF2B5EF4-FFF2-40B4-BE49-F238E27FC236}">
              <a16:creationId xmlns:a16="http://schemas.microsoft.com/office/drawing/2014/main" id="{3CBB7169-C8BD-49BD-A719-6FB98187BF0E}"/>
            </a:ext>
          </a:extLst>
        </xdr:cNvPr>
        <xdr:cNvSpPr/>
      </xdr:nvSpPr>
      <xdr:spPr>
        <a:xfrm>
          <a:off x="609600" y="5695950"/>
          <a:ext cx="14392275" cy="409575"/>
        </a:xfrm>
        <a:prstGeom prst="rect">
          <a:avLst/>
        </a:prstGeom>
        <a:noFill/>
        <a:ln>
          <a:solidFill>
            <a:schemeClr val="accent3"/>
          </a:solidFill>
        </a:ln>
        <a:effectLst>
          <a:outerShdw blurRad="1524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28</xdr:col>
      <xdr:colOff>0</xdr:colOff>
      <xdr:row>1</xdr:row>
      <xdr:rowOff>0</xdr:rowOff>
    </xdr:from>
    <xdr:ext cx="5876924" cy="429025"/>
    <xdr:sp macro="" textlink="">
      <xdr:nvSpPr>
        <xdr:cNvPr id="12" name="Rectangle 11">
          <a:extLst>
            <a:ext uri="{FF2B5EF4-FFF2-40B4-BE49-F238E27FC236}">
              <a16:creationId xmlns:a16="http://schemas.microsoft.com/office/drawing/2014/main" id="{077E1405-3FB6-4BCB-829E-0F181AA7213D}"/>
            </a:ext>
          </a:extLst>
        </xdr:cNvPr>
        <xdr:cNvSpPr/>
      </xdr:nvSpPr>
      <xdr:spPr>
        <a:xfrm>
          <a:off x="4078941" y="192101"/>
          <a:ext cx="5876924" cy="429025"/>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chor="t">
          <a:noAutofit/>
        </a:bodyPr>
        <a:lstStyle/>
        <a:p>
          <a:pPr algn="ctr"/>
          <a:r>
            <a:rPr lang="en-US" sz="20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Knockout</a:t>
          </a:r>
          <a:r>
            <a:rPr lang="en-US" sz="20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0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Stage Input</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45</xdr:col>
      <xdr:colOff>0</xdr:colOff>
      <xdr:row>6</xdr:row>
      <xdr:rowOff>0</xdr:rowOff>
    </xdr:from>
    <xdr:to>
      <xdr:col>56</xdr:col>
      <xdr:colOff>0</xdr:colOff>
      <xdr:row>11</xdr:row>
      <xdr:rowOff>1</xdr:rowOff>
    </xdr:to>
    <xdr:sp macro="" textlink="">
      <xdr:nvSpPr>
        <xdr:cNvPr id="2" name="Rectangle 1">
          <a:extLst>
            <a:ext uri="{FF2B5EF4-FFF2-40B4-BE49-F238E27FC236}">
              <a16:creationId xmlns:a16="http://schemas.microsoft.com/office/drawing/2014/main" id="{2B8740E7-C952-4D61-91EE-1F9B30A4912E}"/>
            </a:ext>
          </a:extLst>
        </xdr:cNvPr>
        <xdr:cNvSpPr/>
      </xdr:nvSpPr>
      <xdr:spPr>
        <a:xfrm>
          <a:off x="1047750" y="2324100"/>
          <a:ext cx="6943725" cy="128587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58</xdr:col>
      <xdr:colOff>0</xdr:colOff>
      <xdr:row>5</xdr:row>
      <xdr:rowOff>0</xdr:rowOff>
    </xdr:from>
    <xdr:to>
      <xdr:col>66</xdr:col>
      <xdr:colOff>186016</xdr:colOff>
      <xdr:row>13</xdr:row>
      <xdr:rowOff>0</xdr:rowOff>
    </xdr:to>
    <xdr:sp macro="" textlink="">
      <xdr:nvSpPr>
        <xdr:cNvPr id="25" name="Rectangle 24">
          <a:extLst>
            <a:ext uri="{FF2B5EF4-FFF2-40B4-BE49-F238E27FC236}">
              <a16:creationId xmlns:a16="http://schemas.microsoft.com/office/drawing/2014/main" id="{9D820CD8-2FBA-48D8-B1E7-61CED19153D6}"/>
            </a:ext>
          </a:extLst>
        </xdr:cNvPr>
        <xdr:cNvSpPr/>
      </xdr:nvSpPr>
      <xdr:spPr>
        <a:xfrm>
          <a:off x="64636650" y="990600"/>
          <a:ext cx="8644216" cy="177165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60</xdr:col>
      <xdr:colOff>941294</xdr:colOff>
      <xdr:row>3</xdr:row>
      <xdr:rowOff>0</xdr:rowOff>
    </xdr:from>
    <xdr:ext cx="2554941" cy="495708"/>
    <xdr:sp macro="" textlink="">
      <xdr:nvSpPr>
        <xdr:cNvPr id="35" name="Rectangle 34">
          <a:extLst>
            <a:ext uri="{FF2B5EF4-FFF2-40B4-BE49-F238E27FC236}">
              <a16:creationId xmlns:a16="http://schemas.microsoft.com/office/drawing/2014/main" id="{8627250A-11A0-400C-8D40-9CB38C51780F}"/>
            </a:ext>
          </a:extLst>
        </xdr:cNvPr>
        <xdr:cNvSpPr/>
      </xdr:nvSpPr>
      <xdr:spPr>
        <a:xfrm>
          <a:off x="67437000" y="1367118"/>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A Fixtures</a:t>
          </a:r>
        </a:p>
      </xdr:txBody>
    </xdr:sp>
    <xdr:clientData/>
  </xdr:oneCellAnchor>
  <xdr:twoCellAnchor>
    <xdr:from>
      <xdr:col>59</xdr:col>
      <xdr:colOff>-1</xdr:colOff>
      <xdr:row>6</xdr:row>
      <xdr:rowOff>0</xdr:rowOff>
    </xdr:from>
    <xdr:to>
      <xdr:col>65</xdr:col>
      <xdr:colOff>2554940</xdr:colOff>
      <xdr:row>12</xdr:row>
      <xdr:rowOff>0</xdr:rowOff>
    </xdr:to>
    <xdr:sp macro="" textlink="">
      <xdr:nvSpPr>
        <xdr:cNvPr id="46" name="Rectangle 45">
          <a:extLst>
            <a:ext uri="{FF2B5EF4-FFF2-40B4-BE49-F238E27FC236}">
              <a16:creationId xmlns:a16="http://schemas.microsoft.com/office/drawing/2014/main" id="{594B35C2-04BB-4D7A-B3AD-31F3059637F6}"/>
            </a:ext>
          </a:extLst>
        </xdr:cNvPr>
        <xdr:cNvSpPr/>
      </xdr:nvSpPr>
      <xdr:spPr>
        <a:xfrm>
          <a:off x="65005323" y="2050676"/>
          <a:ext cx="8258735" cy="1546412"/>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45</xdr:col>
      <xdr:colOff>0</xdr:colOff>
      <xdr:row>14</xdr:row>
      <xdr:rowOff>200025</xdr:rowOff>
    </xdr:from>
    <xdr:to>
      <xdr:col>47</xdr:col>
      <xdr:colOff>9525</xdr:colOff>
      <xdr:row>16</xdr:row>
      <xdr:rowOff>9525</xdr:rowOff>
    </xdr:to>
    <xdr:sp macro="" textlink="">
      <xdr:nvSpPr>
        <xdr:cNvPr id="56" name="Rectangle 55">
          <a:extLst>
            <a:ext uri="{FF2B5EF4-FFF2-40B4-BE49-F238E27FC236}">
              <a16:creationId xmlns:a16="http://schemas.microsoft.com/office/drawing/2014/main" id="{85CEAB7F-C27F-42C2-BD91-BCA9F9D3A379}"/>
            </a:ext>
          </a:extLst>
        </xdr:cNvPr>
        <xdr:cNvSpPr/>
      </xdr:nvSpPr>
      <xdr:spPr>
        <a:xfrm>
          <a:off x="57245250" y="3381375"/>
          <a:ext cx="1981200" cy="228600"/>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44</xdr:col>
      <xdr:colOff>0</xdr:colOff>
      <xdr:row>5</xdr:row>
      <xdr:rowOff>0</xdr:rowOff>
    </xdr:from>
    <xdr:to>
      <xdr:col>57</xdr:col>
      <xdr:colOff>11206</xdr:colOff>
      <xdr:row>13</xdr:row>
      <xdr:rowOff>0</xdr:rowOff>
    </xdr:to>
    <xdr:sp macro="" textlink="">
      <xdr:nvSpPr>
        <xdr:cNvPr id="60" name="Rectangle 59">
          <a:extLst>
            <a:ext uri="{FF2B5EF4-FFF2-40B4-BE49-F238E27FC236}">
              <a16:creationId xmlns:a16="http://schemas.microsoft.com/office/drawing/2014/main" id="{370A8175-0FE9-4DD3-B021-113A7D4762DD}"/>
            </a:ext>
          </a:extLst>
        </xdr:cNvPr>
        <xdr:cNvSpPr/>
      </xdr:nvSpPr>
      <xdr:spPr>
        <a:xfrm>
          <a:off x="57054750" y="990600"/>
          <a:ext cx="7335931" cy="177165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45</xdr:col>
      <xdr:colOff>0</xdr:colOff>
      <xdr:row>16</xdr:row>
      <xdr:rowOff>0</xdr:rowOff>
    </xdr:from>
    <xdr:to>
      <xdr:col>47</xdr:col>
      <xdr:colOff>0</xdr:colOff>
      <xdr:row>16</xdr:row>
      <xdr:rowOff>197223</xdr:rowOff>
    </xdr:to>
    <xdr:sp macro="" textlink="">
      <xdr:nvSpPr>
        <xdr:cNvPr id="61" name="Rectangle 60">
          <a:extLst>
            <a:ext uri="{FF2B5EF4-FFF2-40B4-BE49-F238E27FC236}">
              <a16:creationId xmlns:a16="http://schemas.microsoft.com/office/drawing/2014/main" id="{2916FFE0-27B5-457B-99C2-2D502F08DDE1}"/>
            </a:ext>
          </a:extLst>
        </xdr:cNvPr>
        <xdr:cNvSpPr/>
      </xdr:nvSpPr>
      <xdr:spPr>
        <a:xfrm>
          <a:off x="57245250" y="3371850"/>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47</xdr:col>
      <xdr:colOff>0</xdr:colOff>
      <xdr:row>3</xdr:row>
      <xdr:rowOff>0</xdr:rowOff>
    </xdr:from>
    <xdr:ext cx="2374041" cy="495708"/>
    <xdr:sp macro="" textlink="">
      <xdr:nvSpPr>
        <xdr:cNvPr id="34" name="Rectangle 33">
          <a:extLst>
            <a:ext uri="{FF2B5EF4-FFF2-40B4-BE49-F238E27FC236}">
              <a16:creationId xmlns:a16="http://schemas.microsoft.com/office/drawing/2014/main" id="{A8EE7073-F243-4CEC-91AC-088290C4ABEC}"/>
            </a:ext>
          </a:extLst>
        </xdr:cNvPr>
        <xdr:cNvSpPr/>
      </xdr:nvSpPr>
      <xdr:spPr>
        <a:xfrm>
          <a:off x="59357559" y="1367118"/>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A Table</a:t>
          </a:r>
        </a:p>
      </xdr:txBody>
    </xdr:sp>
    <xdr:clientData/>
  </xdr:oneCellAnchor>
  <xdr:twoCellAnchor>
    <xdr:from>
      <xdr:col>47</xdr:col>
      <xdr:colOff>285749</xdr:colOff>
      <xdr:row>15</xdr:row>
      <xdr:rowOff>1</xdr:rowOff>
    </xdr:from>
    <xdr:to>
      <xdr:col>54</xdr:col>
      <xdr:colOff>291352</xdr:colOff>
      <xdr:row>15</xdr:row>
      <xdr:rowOff>190501</xdr:rowOff>
    </xdr:to>
    <xdr:sp macro="" textlink="">
      <xdr:nvSpPr>
        <xdr:cNvPr id="62" name="Rectangle 61">
          <a:extLst>
            <a:ext uri="{FF2B5EF4-FFF2-40B4-BE49-F238E27FC236}">
              <a16:creationId xmlns:a16="http://schemas.microsoft.com/office/drawing/2014/main" id="{2490A6E6-B7BC-4B79-8332-5F17D0C05EB7}"/>
            </a:ext>
          </a:extLst>
        </xdr:cNvPr>
        <xdr:cNvSpPr/>
      </xdr:nvSpPr>
      <xdr:spPr>
        <a:xfrm>
          <a:off x="2495549" y="3124201"/>
          <a:ext cx="1996328"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48</xdr:col>
      <xdr:colOff>0</xdr:colOff>
      <xdr:row>16</xdr:row>
      <xdr:rowOff>1</xdr:rowOff>
    </xdr:from>
    <xdr:to>
      <xdr:col>55</xdr:col>
      <xdr:colOff>0</xdr:colOff>
      <xdr:row>17</xdr:row>
      <xdr:rowOff>22412</xdr:rowOff>
    </xdr:to>
    <xdr:sp macro="" textlink="">
      <xdr:nvSpPr>
        <xdr:cNvPr id="63" name="Rectangle 62">
          <a:extLst>
            <a:ext uri="{FF2B5EF4-FFF2-40B4-BE49-F238E27FC236}">
              <a16:creationId xmlns:a16="http://schemas.microsoft.com/office/drawing/2014/main" id="{40D28B4E-3178-4B9B-9CAD-624E4FAFE9CD}"/>
            </a:ext>
          </a:extLst>
        </xdr:cNvPr>
        <xdr:cNvSpPr/>
      </xdr:nvSpPr>
      <xdr:spPr>
        <a:xfrm>
          <a:off x="2495550" y="3333751"/>
          <a:ext cx="2000250" cy="231961"/>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5</xdr:row>
      <xdr:rowOff>0</xdr:rowOff>
    </xdr:from>
    <xdr:to>
      <xdr:col>14</xdr:col>
      <xdr:colOff>11206</xdr:colOff>
      <xdr:row>13</xdr:row>
      <xdr:rowOff>0</xdr:rowOff>
    </xdr:to>
    <xdr:sp macro="" textlink="">
      <xdr:nvSpPr>
        <xdr:cNvPr id="20" name="Rectangle 19">
          <a:extLst>
            <a:ext uri="{FF2B5EF4-FFF2-40B4-BE49-F238E27FC236}">
              <a16:creationId xmlns:a16="http://schemas.microsoft.com/office/drawing/2014/main" id="{48BFA5B9-23D7-4BB6-A561-FDE567C161AA}"/>
            </a:ext>
          </a:extLst>
        </xdr:cNvPr>
        <xdr:cNvSpPr/>
      </xdr:nvSpPr>
      <xdr:spPr>
        <a:xfrm>
          <a:off x="609600" y="4457700"/>
          <a:ext cx="7335931"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6</xdr:row>
      <xdr:rowOff>0</xdr:rowOff>
    </xdr:from>
    <xdr:to>
      <xdr:col>13</xdr:col>
      <xdr:colOff>0</xdr:colOff>
      <xdr:row>11</xdr:row>
      <xdr:rowOff>1</xdr:rowOff>
    </xdr:to>
    <xdr:sp macro="" textlink="">
      <xdr:nvSpPr>
        <xdr:cNvPr id="21" name="Rectangle 20">
          <a:extLst>
            <a:ext uri="{FF2B5EF4-FFF2-40B4-BE49-F238E27FC236}">
              <a16:creationId xmlns:a16="http://schemas.microsoft.com/office/drawing/2014/main" id="{40B46CA5-D2FD-4D6E-A0CE-0CAA6221433B}"/>
            </a:ext>
          </a:extLst>
        </xdr:cNvPr>
        <xdr:cNvSpPr/>
      </xdr:nvSpPr>
      <xdr:spPr>
        <a:xfrm>
          <a:off x="800100" y="4714875"/>
          <a:ext cx="6943725" cy="128587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0</xdr:colOff>
      <xdr:row>5</xdr:row>
      <xdr:rowOff>0</xdr:rowOff>
    </xdr:from>
    <xdr:to>
      <xdr:col>23</xdr:col>
      <xdr:colOff>186017</xdr:colOff>
      <xdr:row>13</xdr:row>
      <xdr:rowOff>0</xdr:rowOff>
    </xdr:to>
    <xdr:sp macro="" textlink="">
      <xdr:nvSpPr>
        <xdr:cNvPr id="22" name="Rectangle 21">
          <a:extLst>
            <a:ext uri="{FF2B5EF4-FFF2-40B4-BE49-F238E27FC236}">
              <a16:creationId xmlns:a16="http://schemas.microsoft.com/office/drawing/2014/main" id="{3CEE44B4-551C-4379-AA4C-8AFB73D0FCEB}"/>
            </a:ext>
          </a:extLst>
        </xdr:cNvPr>
        <xdr:cNvSpPr/>
      </xdr:nvSpPr>
      <xdr:spPr>
        <a:xfrm>
          <a:off x="8191500" y="4457700"/>
          <a:ext cx="8644217"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xdr:col>
      <xdr:colOff>0</xdr:colOff>
      <xdr:row>3</xdr:row>
      <xdr:rowOff>0</xdr:rowOff>
    </xdr:from>
    <xdr:ext cx="2374041" cy="495708"/>
    <xdr:sp macro="" textlink="">
      <xdr:nvSpPr>
        <xdr:cNvPr id="23" name="Rectangle 22">
          <a:extLst>
            <a:ext uri="{FF2B5EF4-FFF2-40B4-BE49-F238E27FC236}">
              <a16:creationId xmlns:a16="http://schemas.microsoft.com/office/drawing/2014/main" id="{93C0A596-1B25-4A11-AE1E-B77211D582B8}"/>
            </a:ext>
          </a:extLst>
        </xdr:cNvPr>
        <xdr:cNvSpPr/>
      </xdr:nvSpPr>
      <xdr:spPr>
        <a:xfrm>
          <a:off x="2771775" y="403860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B Table</a:t>
          </a:r>
        </a:p>
      </xdr:txBody>
    </xdr:sp>
    <xdr:clientData/>
  </xdr:oneCellAnchor>
  <xdr:oneCellAnchor>
    <xdr:from>
      <xdr:col>17</xdr:col>
      <xdr:colOff>941294</xdr:colOff>
      <xdr:row>3</xdr:row>
      <xdr:rowOff>0</xdr:rowOff>
    </xdr:from>
    <xdr:ext cx="2554941" cy="495708"/>
    <xdr:sp macro="" textlink="">
      <xdr:nvSpPr>
        <xdr:cNvPr id="24" name="Rectangle 23">
          <a:extLst>
            <a:ext uri="{FF2B5EF4-FFF2-40B4-BE49-F238E27FC236}">
              <a16:creationId xmlns:a16="http://schemas.microsoft.com/office/drawing/2014/main" id="{EDE1F8D7-AD33-477B-A12B-796D5C7E13BC}"/>
            </a:ext>
          </a:extLst>
        </xdr:cNvPr>
        <xdr:cNvSpPr/>
      </xdr:nvSpPr>
      <xdr:spPr>
        <a:xfrm>
          <a:off x="10818719" y="4038600"/>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B Fixtures</a:t>
          </a:r>
        </a:p>
      </xdr:txBody>
    </xdr:sp>
    <xdr:clientData/>
  </xdr:oneCellAnchor>
  <xdr:twoCellAnchor>
    <xdr:from>
      <xdr:col>16</xdr:col>
      <xdr:colOff>0</xdr:colOff>
      <xdr:row>6</xdr:row>
      <xdr:rowOff>0</xdr:rowOff>
    </xdr:from>
    <xdr:to>
      <xdr:col>23</xdr:col>
      <xdr:colOff>0</xdr:colOff>
      <xdr:row>12</xdr:row>
      <xdr:rowOff>0</xdr:rowOff>
    </xdr:to>
    <xdr:sp macro="" textlink="">
      <xdr:nvSpPr>
        <xdr:cNvPr id="25" name="Rectangle 24">
          <a:extLst>
            <a:ext uri="{FF2B5EF4-FFF2-40B4-BE49-F238E27FC236}">
              <a16:creationId xmlns:a16="http://schemas.microsoft.com/office/drawing/2014/main" id="{EAB475DF-E1C4-478B-8239-922733BCB1E2}"/>
            </a:ext>
          </a:extLst>
        </xdr:cNvPr>
        <xdr:cNvSpPr/>
      </xdr:nvSpPr>
      <xdr:spPr>
        <a:xfrm>
          <a:off x="8382000" y="4714875"/>
          <a:ext cx="8267700" cy="1543050"/>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14</xdr:row>
      <xdr:rowOff>200025</xdr:rowOff>
    </xdr:from>
    <xdr:to>
      <xdr:col>4</xdr:col>
      <xdr:colOff>9525</xdr:colOff>
      <xdr:row>16</xdr:row>
      <xdr:rowOff>9525</xdr:rowOff>
    </xdr:to>
    <xdr:sp macro="" textlink="">
      <xdr:nvSpPr>
        <xdr:cNvPr id="26" name="Rectangle 25">
          <a:extLst>
            <a:ext uri="{FF2B5EF4-FFF2-40B4-BE49-F238E27FC236}">
              <a16:creationId xmlns:a16="http://schemas.microsoft.com/office/drawing/2014/main" id="{FD485D2A-1E4F-4B27-84CE-B5C912399B74}"/>
            </a:ext>
          </a:extLst>
        </xdr:cNvPr>
        <xdr:cNvSpPr/>
      </xdr:nvSpPr>
      <xdr:spPr>
        <a:xfrm>
          <a:off x="800100" y="200025"/>
          <a:ext cx="1981200" cy="228600"/>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16</xdr:row>
      <xdr:rowOff>11206</xdr:rowOff>
    </xdr:from>
    <xdr:to>
      <xdr:col>4</xdr:col>
      <xdr:colOff>0</xdr:colOff>
      <xdr:row>16</xdr:row>
      <xdr:rowOff>246529</xdr:rowOff>
    </xdr:to>
    <xdr:sp macro="" textlink="">
      <xdr:nvSpPr>
        <xdr:cNvPr id="27" name="Rectangle 26">
          <a:extLst>
            <a:ext uri="{FF2B5EF4-FFF2-40B4-BE49-F238E27FC236}">
              <a16:creationId xmlns:a16="http://schemas.microsoft.com/office/drawing/2014/main" id="{23073D2A-BBEC-4C68-8B24-7E851382EC7E}"/>
            </a:ext>
          </a:extLst>
        </xdr:cNvPr>
        <xdr:cNvSpPr/>
      </xdr:nvSpPr>
      <xdr:spPr>
        <a:xfrm>
          <a:off x="800100" y="430306"/>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285749</xdr:colOff>
      <xdr:row>15</xdr:row>
      <xdr:rowOff>1</xdr:rowOff>
    </xdr:from>
    <xdr:to>
      <xdr:col>11</xdr:col>
      <xdr:colOff>291352</xdr:colOff>
      <xdr:row>15</xdr:row>
      <xdr:rowOff>190501</xdr:rowOff>
    </xdr:to>
    <xdr:sp macro="" textlink="">
      <xdr:nvSpPr>
        <xdr:cNvPr id="31" name="Rectangle 30">
          <a:extLst>
            <a:ext uri="{FF2B5EF4-FFF2-40B4-BE49-F238E27FC236}">
              <a16:creationId xmlns:a16="http://schemas.microsoft.com/office/drawing/2014/main" id="{EE190AFD-3786-4A06-9CF7-2FBE43863B43}"/>
            </a:ext>
          </a:extLst>
        </xdr:cNvPr>
        <xdr:cNvSpPr/>
      </xdr:nvSpPr>
      <xdr:spPr>
        <a:xfrm>
          <a:off x="2495549" y="3124201"/>
          <a:ext cx="1996328"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16</xdr:row>
      <xdr:rowOff>1</xdr:rowOff>
    </xdr:from>
    <xdr:to>
      <xdr:col>12</xdr:col>
      <xdr:colOff>0</xdr:colOff>
      <xdr:row>17</xdr:row>
      <xdr:rowOff>22412</xdr:rowOff>
    </xdr:to>
    <xdr:sp macro="" textlink="">
      <xdr:nvSpPr>
        <xdr:cNvPr id="32" name="Rectangle 31">
          <a:extLst>
            <a:ext uri="{FF2B5EF4-FFF2-40B4-BE49-F238E27FC236}">
              <a16:creationId xmlns:a16="http://schemas.microsoft.com/office/drawing/2014/main" id="{43C7E650-3183-4289-B2EC-F082D5C8A9A8}"/>
            </a:ext>
          </a:extLst>
        </xdr:cNvPr>
        <xdr:cNvSpPr/>
      </xdr:nvSpPr>
      <xdr:spPr>
        <a:xfrm>
          <a:off x="2495550" y="3333751"/>
          <a:ext cx="2000250" cy="231961"/>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6</xdr:row>
      <xdr:rowOff>0</xdr:rowOff>
    </xdr:from>
    <xdr:to>
      <xdr:col>13</xdr:col>
      <xdr:colOff>0</xdr:colOff>
      <xdr:row>11</xdr:row>
      <xdr:rowOff>1</xdr:rowOff>
    </xdr:to>
    <xdr:sp macro="" textlink="">
      <xdr:nvSpPr>
        <xdr:cNvPr id="2" name="Rectangle 1">
          <a:extLst>
            <a:ext uri="{FF2B5EF4-FFF2-40B4-BE49-F238E27FC236}">
              <a16:creationId xmlns:a16="http://schemas.microsoft.com/office/drawing/2014/main" id="{2A5D9AF9-1320-4010-9B20-3C6BFCBD0B73}"/>
            </a:ext>
          </a:extLst>
        </xdr:cNvPr>
        <xdr:cNvSpPr/>
      </xdr:nvSpPr>
      <xdr:spPr>
        <a:xfrm>
          <a:off x="800100" y="7400925"/>
          <a:ext cx="6943725" cy="128587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5</xdr:row>
      <xdr:rowOff>0</xdr:rowOff>
    </xdr:from>
    <xdr:to>
      <xdr:col>14</xdr:col>
      <xdr:colOff>11206</xdr:colOff>
      <xdr:row>13</xdr:row>
      <xdr:rowOff>0</xdr:rowOff>
    </xdr:to>
    <xdr:sp macro="" textlink="">
      <xdr:nvSpPr>
        <xdr:cNvPr id="3" name="Rectangle 2">
          <a:extLst>
            <a:ext uri="{FF2B5EF4-FFF2-40B4-BE49-F238E27FC236}">
              <a16:creationId xmlns:a16="http://schemas.microsoft.com/office/drawing/2014/main" id="{7D668D04-2083-46D2-9F7C-FF78C150CA58}"/>
            </a:ext>
          </a:extLst>
        </xdr:cNvPr>
        <xdr:cNvSpPr/>
      </xdr:nvSpPr>
      <xdr:spPr>
        <a:xfrm>
          <a:off x="609600" y="7143750"/>
          <a:ext cx="7335931"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0</xdr:colOff>
      <xdr:row>5</xdr:row>
      <xdr:rowOff>0</xdr:rowOff>
    </xdr:from>
    <xdr:to>
      <xdr:col>23</xdr:col>
      <xdr:colOff>186017</xdr:colOff>
      <xdr:row>13</xdr:row>
      <xdr:rowOff>0</xdr:rowOff>
    </xdr:to>
    <xdr:sp macro="" textlink="">
      <xdr:nvSpPr>
        <xdr:cNvPr id="4" name="Rectangle 3">
          <a:extLst>
            <a:ext uri="{FF2B5EF4-FFF2-40B4-BE49-F238E27FC236}">
              <a16:creationId xmlns:a16="http://schemas.microsoft.com/office/drawing/2014/main" id="{12761606-FA57-43D4-B1B9-5425BAD0DC5E}"/>
            </a:ext>
          </a:extLst>
        </xdr:cNvPr>
        <xdr:cNvSpPr/>
      </xdr:nvSpPr>
      <xdr:spPr>
        <a:xfrm>
          <a:off x="8191500" y="7143750"/>
          <a:ext cx="8644217"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17</xdr:col>
      <xdr:colOff>949138</xdr:colOff>
      <xdr:row>3</xdr:row>
      <xdr:rowOff>1681</xdr:rowOff>
    </xdr:from>
    <xdr:ext cx="2554941" cy="495708"/>
    <xdr:sp macro="" textlink="">
      <xdr:nvSpPr>
        <xdr:cNvPr id="5" name="Rectangle 4">
          <a:extLst>
            <a:ext uri="{FF2B5EF4-FFF2-40B4-BE49-F238E27FC236}">
              <a16:creationId xmlns:a16="http://schemas.microsoft.com/office/drawing/2014/main" id="{AC007C18-2B4B-4518-B68A-9336AE941D50}"/>
            </a:ext>
          </a:extLst>
        </xdr:cNvPr>
        <xdr:cNvSpPr/>
      </xdr:nvSpPr>
      <xdr:spPr>
        <a:xfrm>
          <a:off x="10855138" y="573181"/>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C Fixtures</a:t>
          </a:r>
        </a:p>
      </xdr:txBody>
    </xdr:sp>
    <xdr:clientData/>
  </xdr:oneCellAnchor>
  <xdr:oneCellAnchor>
    <xdr:from>
      <xdr:col>4</xdr:col>
      <xdr:colOff>0</xdr:colOff>
      <xdr:row>3</xdr:row>
      <xdr:rowOff>0</xdr:rowOff>
    </xdr:from>
    <xdr:ext cx="2374041" cy="495708"/>
    <xdr:sp macro="" textlink="">
      <xdr:nvSpPr>
        <xdr:cNvPr id="6" name="Rectangle 5">
          <a:extLst>
            <a:ext uri="{FF2B5EF4-FFF2-40B4-BE49-F238E27FC236}">
              <a16:creationId xmlns:a16="http://schemas.microsoft.com/office/drawing/2014/main" id="{0BDA9F19-D008-4F59-85B4-DEF811DC8327}"/>
            </a:ext>
          </a:extLst>
        </xdr:cNvPr>
        <xdr:cNvSpPr/>
      </xdr:nvSpPr>
      <xdr:spPr>
        <a:xfrm>
          <a:off x="2771775" y="672465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C Table</a:t>
          </a:r>
        </a:p>
      </xdr:txBody>
    </xdr:sp>
    <xdr:clientData/>
  </xdr:oneCellAnchor>
  <xdr:twoCellAnchor>
    <xdr:from>
      <xdr:col>16</xdr:col>
      <xdr:colOff>0</xdr:colOff>
      <xdr:row>6</xdr:row>
      <xdr:rowOff>0</xdr:rowOff>
    </xdr:from>
    <xdr:to>
      <xdr:col>23</xdr:col>
      <xdr:colOff>0</xdr:colOff>
      <xdr:row>12</xdr:row>
      <xdr:rowOff>0</xdr:rowOff>
    </xdr:to>
    <xdr:sp macro="" textlink="">
      <xdr:nvSpPr>
        <xdr:cNvPr id="7" name="Rectangle 6">
          <a:extLst>
            <a:ext uri="{FF2B5EF4-FFF2-40B4-BE49-F238E27FC236}">
              <a16:creationId xmlns:a16="http://schemas.microsoft.com/office/drawing/2014/main" id="{45B86454-5C5C-40F6-B709-945CDD51EA4A}"/>
            </a:ext>
          </a:extLst>
        </xdr:cNvPr>
        <xdr:cNvSpPr/>
      </xdr:nvSpPr>
      <xdr:spPr>
        <a:xfrm>
          <a:off x="8382000" y="7400925"/>
          <a:ext cx="8267700" cy="1543050"/>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14</xdr:row>
      <xdr:rowOff>200025</xdr:rowOff>
    </xdr:from>
    <xdr:to>
      <xdr:col>4</xdr:col>
      <xdr:colOff>9525</xdr:colOff>
      <xdr:row>16</xdr:row>
      <xdr:rowOff>9525</xdr:rowOff>
    </xdr:to>
    <xdr:sp macro="" textlink="">
      <xdr:nvSpPr>
        <xdr:cNvPr id="8" name="Rectangle 7">
          <a:extLst>
            <a:ext uri="{FF2B5EF4-FFF2-40B4-BE49-F238E27FC236}">
              <a16:creationId xmlns:a16="http://schemas.microsoft.com/office/drawing/2014/main" id="{42C1BCA8-082C-430A-BE8D-8A0AA0BB813D}"/>
            </a:ext>
          </a:extLst>
        </xdr:cNvPr>
        <xdr:cNvSpPr/>
      </xdr:nvSpPr>
      <xdr:spPr>
        <a:xfrm>
          <a:off x="800100" y="3162300"/>
          <a:ext cx="1981200" cy="219075"/>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16</xdr:row>
      <xdr:rowOff>11206</xdr:rowOff>
    </xdr:from>
    <xdr:to>
      <xdr:col>4</xdr:col>
      <xdr:colOff>0</xdr:colOff>
      <xdr:row>16</xdr:row>
      <xdr:rowOff>246529</xdr:rowOff>
    </xdr:to>
    <xdr:sp macro="" textlink="">
      <xdr:nvSpPr>
        <xdr:cNvPr id="9" name="Rectangle 8">
          <a:extLst>
            <a:ext uri="{FF2B5EF4-FFF2-40B4-BE49-F238E27FC236}">
              <a16:creationId xmlns:a16="http://schemas.microsoft.com/office/drawing/2014/main" id="{305EF03F-C000-4173-B365-A41675C35F34}"/>
            </a:ext>
          </a:extLst>
        </xdr:cNvPr>
        <xdr:cNvSpPr/>
      </xdr:nvSpPr>
      <xdr:spPr>
        <a:xfrm>
          <a:off x="800100" y="3383056"/>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285749</xdr:colOff>
      <xdr:row>15</xdr:row>
      <xdr:rowOff>1</xdr:rowOff>
    </xdr:from>
    <xdr:to>
      <xdr:col>11</xdr:col>
      <xdr:colOff>291352</xdr:colOff>
      <xdr:row>15</xdr:row>
      <xdr:rowOff>190501</xdr:rowOff>
    </xdr:to>
    <xdr:sp macro="" textlink="">
      <xdr:nvSpPr>
        <xdr:cNvPr id="10" name="Rectangle 9">
          <a:extLst>
            <a:ext uri="{FF2B5EF4-FFF2-40B4-BE49-F238E27FC236}">
              <a16:creationId xmlns:a16="http://schemas.microsoft.com/office/drawing/2014/main" id="{1CC3BF7F-C681-4E2D-B69F-F78B847AFD78}"/>
            </a:ext>
          </a:extLst>
        </xdr:cNvPr>
        <xdr:cNvSpPr/>
      </xdr:nvSpPr>
      <xdr:spPr>
        <a:xfrm>
          <a:off x="2504514" y="3171266"/>
          <a:ext cx="2045073"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16</xdr:row>
      <xdr:rowOff>1</xdr:rowOff>
    </xdr:from>
    <xdr:to>
      <xdr:col>12</xdr:col>
      <xdr:colOff>0</xdr:colOff>
      <xdr:row>17</xdr:row>
      <xdr:rowOff>22412</xdr:rowOff>
    </xdr:to>
    <xdr:sp macro="" textlink="">
      <xdr:nvSpPr>
        <xdr:cNvPr id="11" name="Rectangle 10">
          <a:extLst>
            <a:ext uri="{FF2B5EF4-FFF2-40B4-BE49-F238E27FC236}">
              <a16:creationId xmlns:a16="http://schemas.microsoft.com/office/drawing/2014/main" id="{849CF05A-F7F5-45F6-9A41-27B290E6B8AD}"/>
            </a:ext>
          </a:extLst>
        </xdr:cNvPr>
        <xdr:cNvSpPr/>
      </xdr:nvSpPr>
      <xdr:spPr>
        <a:xfrm>
          <a:off x="2510118" y="3384177"/>
          <a:ext cx="2039470" cy="235323"/>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6</xdr:row>
      <xdr:rowOff>0</xdr:rowOff>
    </xdr:from>
    <xdr:to>
      <xdr:col>13</xdr:col>
      <xdr:colOff>0</xdr:colOff>
      <xdr:row>11</xdr:row>
      <xdr:rowOff>0</xdr:rowOff>
    </xdr:to>
    <xdr:sp macro="" textlink="">
      <xdr:nvSpPr>
        <xdr:cNvPr id="2" name="Rectangle 1">
          <a:extLst>
            <a:ext uri="{FF2B5EF4-FFF2-40B4-BE49-F238E27FC236}">
              <a16:creationId xmlns:a16="http://schemas.microsoft.com/office/drawing/2014/main" id="{F538E5CB-470E-4A3A-8F62-41E3BCDD5FFF}"/>
            </a:ext>
          </a:extLst>
        </xdr:cNvPr>
        <xdr:cNvSpPr/>
      </xdr:nvSpPr>
      <xdr:spPr>
        <a:xfrm>
          <a:off x="800100" y="10086975"/>
          <a:ext cx="6943725" cy="1285875"/>
        </a:xfrm>
        <a:prstGeom prst="rect">
          <a:avLst/>
        </a:prstGeom>
        <a:noFill/>
        <a:ln>
          <a:solidFill>
            <a:schemeClr val="accent3"/>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5</xdr:row>
      <xdr:rowOff>0</xdr:rowOff>
    </xdr:from>
    <xdr:to>
      <xdr:col>14</xdr:col>
      <xdr:colOff>11206</xdr:colOff>
      <xdr:row>13</xdr:row>
      <xdr:rowOff>0</xdr:rowOff>
    </xdr:to>
    <xdr:sp macro="" textlink="">
      <xdr:nvSpPr>
        <xdr:cNvPr id="4" name="Rectangle 3">
          <a:extLst>
            <a:ext uri="{FF2B5EF4-FFF2-40B4-BE49-F238E27FC236}">
              <a16:creationId xmlns:a16="http://schemas.microsoft.com/office/drawing/2014/main" id="{5095F756-C493-44A6-938E-9D214056F6B7}"/>
            </a:ext>
          </a:extLst>
        </xdr:cNvPr>
        <xdr:cNvSpPr/>
      </xdr:nvSpPr>
      <xdr:spPr>
        <a:xfrm>
          <a:off x="609600" y="9829800"/>
          <a:ext cx="7335931"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0</xdr:colOff>
      <xdr:row>5</xdr:row>
      <xdr:rowOff>0</xdr:rowOff>
    </xdr:from>
    <xdr:to>
      <xdr:col>23</xdr:col>
      <xdr:colOff>186017</xdr:colOff>
      <xdr:row>13</xdr:row>
      <xdr:rowOff>0</xdr:rowOff>
    </xdr:to>
    <xdr:sp macro="" textlink="">
      <xdr:nvSpPr>
        <xdr:cNvPr id="5" name="Rectangle 4">
          <a:extLst>
            <a:ext uri="{FF2B5EF4-FFF2-40B4-BE49-F238E27FC236}">
              <a16:creationId xmlns:a16="http://schemas.microsoft.com/office/drawing/2014/main" id="{7A20A32F-EDA3-4DEE-A2B2-8FA6F7ACFDD1}"/>
            </a:ext>
          </a:extLst>
        </xdr:cNvPr>
        <xdr:cNvSpPr/>
      </xdr:nvSpPr>
      <xdr:spPr>
        <a:xfrm>
          <a:off x="8191500" y="9829800"/>
          <a:ext cx="8644217"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17</xdr:col>
      <xdr:colOff>954180</xdr:colOff>
      <xdr:row>3</xdr:row>
      <xdr:rowOff>0</xdr:rowOff>
    </xdr:from>
    <xdr:ext cx="2554941" cy="495708"/>
    <xdr:sp macro="" textlink="">
      <xdr:nvSpPr>
        <xdr:cNvPr id="6" name="Rectangle 5">
          <a:extLst>
            <a:ext uri="{FF2B5EF4-FFF2-40B4-BE49-F238E27FC236}">
              <a16:creationId xmlns:a16="http://schemas.microsoft.com/office/drawing/2014/main" id="{231642C3-764E-483E-A026-1E6129E35C9D}"/>
            </a:ext>
          </a:extLst>
        </xdr:cNvPr>
        <xdr:cNvSpPr/>
      </xdr:nvSpPr>
      <xdr:spPr>
        <a:xfrm>
          <a:off x="10860180" y="571500"/>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D Fixtures</a:t>
          </a:r>
        </a:p>
      </xdr:txBody>
    </xdr:sp>
    <xdr:clientData/>
  </xdr:oneCellAnchor>
  <xdr:oneCellAnchor>
    <xdr:from>
      <xdr:col>4</xdr:col>
      <xdr:colOff>0</xdr:colOff>
      <xdr:row>3</xdr:row>
      <xdr:rowOff>0</xdr:rowOff>
    </xdr:from>
    <xdr:ext cx="2374041" cy="495708"/>
    <xdr:sp macro="" textlink="">
      <xdr:nvSpPr>
        <xdr:cNvPr id="7" name="Rectangle 6">
          <a:extLst>
            <a:ext uri="{FF2B5EF4-FFF2-40B4-BE49-F238E27FC236}">
              <a16:creationId xmlns:a16="http://schemas.microsoft.com/office/drawing/2014/main" id="{ECE1BBEC-91DA-470C-B781-5450AA8A8D37}"/>
            </a:ext>
          </a:extLst>
        </xdr:cNvPr>
        <xdr:cNvSpPr/>
      </xdr:nvSpPr>
      <xdr:spPr>
        <a:xfrm>
          <a:off x="2771775" y="941070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D Table</a:t>
          </a:r>
        </a:p>
      </xdr:txBody>
    </xdr:sp>
    <xdr:clientData/>
  </xdr:oneCellAnchor>
  <xdr:twoCellAnchor>
    <xdr:from>
      <xdr:col>16</xdr:col>
      <xdr:colOff>0</xdr:colOff>
      <xdr:row>6</xdr:row>
      <xdr:rowOff>0</xdr:rowOff>
    </xdr:from>
    <xdr:to>
      <xdr:col>23</xdr:col>
      <xdr:colOff>0</xdr:colOff>
      <xdr:row>12</xdr:row>
      <xdr:rowOff>0</xdr:rowOff>
    </xdr:to>
    <xdr:sp macro="" textlink="">
      <xdr:nvSpPr>
        <xdr:cNvPr id="8" name="Rectangle 7">
          <a:extLst>
            <a:ext uri="{FF2B5EF4-FFF2-40B4-BE49-F238E27FC236}">
              <a16:creationId xmlns:a16="http://schemas.microsoft.com/office/drawing/2014/main" id="{C3F8C9B8-5C6C-4DAB-961F-204201E917AA}"/>
            </a:ext>
          </a:extLst>
        </xdr:cNvPr>
        <xdr:cNvSpPr/>
      </xdr:nvSpPr>
      <xdr:spPr>
        <a:xfrm>
          <a:off x="8382000" y="10086975"/>
          <a:ext cx="8267700" cy="1543050"/>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14</xdr:row>
      <xdr:rowOff>200025</xdr:rowOff>
    </xdr:from>
    <xdr:to>
      <xdr:col>4</xdr:col>
      <xdr:colOff>9525</xdr:colOff>
      <xdr:row>16</xdr:row>
      <xdr:rowOff>9525</xdr:rowOff>
    </xdr:to>
    <xdr:sp macro="" textlink="">
      <xdr:nvSpPr>
        <xdr:cNvPr id="9" name="Rectangle 8">
          <a:extLst>
            <a:ext uri="{FF2B5EF4-FFF2-40B4-BE49-F238E27FC236}">
              <a16:creationId xmlns:a16="http://schemas.microsoft.com/office/drawing/2014/main" id="{26C9C644-9315-4367-A326-0DB06D29C0E2}"/>
            </a:ext>
          </a:extLst>
        </xdr:cNvPr>
        <xdr:cNvSpPr/>
      </xdr:nvSpPr>
      <xdr:spPr>
        <a:xfrm>
          <a:off x="800100" y="3162300"/>
          <a:ext cx="1981200" cy="219075"/>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16</xdr:row>
      <xdr:rowOff>11206</xdr:rowOff>
    </xdr:from>
    <xdr:to>
      <xdr:col>4</xdr:col>
      <xdr:colOff>0</xdr:colOff>
      <xdr:row>16</xdr:row>
      <xdr:rowOff>246529</xdr:rowOff>
    </xdr:to>
    <xdr:sp macro="" textlink="">
      <xdr:nvSpPr>
        <xdr:cNvPr id="10" name="Rectangle 9">
          <a:extLst>
            <a:ext uri="{FF2B5EF4-FFF2-40B4-BE49-F238E27FC236}">
              <a16:creationId xmlns:a16="http://schemas.microsoft.com/office/drawing/2014/main" id="{FD5D4AB2-35A4-44DD-ABCF-4B0E90ABB3CB}"/>
            </a:ext>
          </a:extLst>
        </xdr:cNvPr>
        <xdr:cNvSpPr/>
      </xdr:nvSpPr>
      <xdr:spPr>
        <a:xfrm>
          <a:off x="800100" y="3383056"/>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285749</xdr:colOff>
      <xdr:row>15</xdr:row>
      <xdr:rowOff>1</xdr:rowOff>
    </xdr:from>
    <xdr:to>
      <xdr:col>11</xdr:col>
      <xdr:colOff>291352</xdr:colOff>
      <xdr:row>15</xdr:row>
      <xdr:rowOff>190501</xdr:rowOff>
    </xdr:to>
    <xdr:sp macro="" textlink="">
      <xdr:nvSpPr>
        <xdr:cNvPr id="13" name="Rectangle 12">
          <a:extLst>
            <a:ext uri="{FF2B5EF4-FFF2-40B4-BE49-F238E27FC236}">
              <a16:creationId xmlns:a16="http://schemas.microsoft.com/office/drawing/2014/main" id="{565ECE22-0FF7-442E-B96E-EAABC1ACA122}"/>
            </a:ext>
          </a:extLst>
        </xdr:cNvPr>
        <xdr:cNvSpPr/>
      </xdr:nvSpPr>
      <xdr:spPr>
        <a:xfrm>
          <a:off x="2495549" y="3124201"/>
          <a:ext cx="1996328"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16</xdr:row>
      <xdr:rowOff>1</xdr:rowOff>
    </xdr:from>
    <xdr:to>
      <xdr:col>12</xdr:col>
      <xdr:colOff>0</xdr:colOff>
      <xdr:row>17</xdr:row>
      <xdr:rowOff>22412</xdr:rowOff>
    </xdr:to>
    <xdr:sp macro="" textlink="">
      <xdr:nvSpPr>
        <xdr:cNvPr id="14" name="Rectangle 13">
          <a:extLst>
            <a:ext uri="{FF2B5EF4-FFF2-40B4-BE49-F238E27FC236}">
              <a16:creationId xmlns:a16="http://schemas.microsoft.com/office/drawing/2014/main" id="{966F92BD-64CF-4228-9C34-A18DBB2FAA64}"/>
            </a:ext>
          </a:extLst>
        </xdr:cNvPr>
        <xdr:cNvSpPr/>
      </xdr:nvSpPr>
      <xdr:spPr>
        <a:xfrm>
          <a:off x="2495550" y="3333751"/>
          <a:ext cx="2000250" cy="231961"/>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6</xdr:row>
      <xdr:rowOff>0</xdr:rowOff>
    </xdr:from>
    <xdr:to>
      <xdr:col>13</xdr:col>
      <xdr:colOff>0</xdr:colOff>
      <xdr:row>11</xdr:row>
      <xdr:rowOff>2</xdr:rowOff>
    </xdr:to>
    <xdr:sp macro="" textlink="">
      <xdr:nvSpPr>
        <xdr:cNvPr id="2" name="Rectangle 1">
          <a:extLst>
            <a:ext uri="{FF2B5EF4-FFF2-40B4-BE49-F238E27FC236}">
              <a16:creationId xmlns:a16="http://schemas.microsoft.com/office/drawing/2014/main" id="{5E2A0BAA-F514-48BD-BFB6-6A7C6F12D45C}"/>
            </a:ext>
          </a:extLst>
        </xdr:cNvPr>
        <xdr:cNvSpPr/>
      </xdr:nvSpPr>
      <xdr:spPr>
        <a:xfrm>
          <a:off x="800100" y="12773025"/>
          <a:ext cx="6943725" cy="1285877"/>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5</xdr:row>
      <xdr:rowOff>0</xdr:rowOff>
    </xdr:from>
    <xdr:to>
      <xdr:col>14</xdr:col>
      <xdr:colOff>11206</xdr:colOff>
      <xdr:row>13</xdr:row>
      <xdr:rowOff>0</xdr:rowOff>
    </xdr:to>
    <xdr:sp macro="" textlink="">
      <xdr:nvSpPr>
        <xdr:cNvPr id="3" name="Rectangle 2">
          <a:extLst>
            <a:ext uri="{FF2B5EF4-FFF2-40B4-BE49-F238E27FC236}">
              <a16:creationId xmlns:a16="http://schemas.microsoft.com/office/drawing/2014/main" id="{9BB6637A-8269-43E2-8A0A-89BFB56501BD}"/>
            </a:ext>
          </a:extLst>
        </xdr:cNvPr>
        <xdr:cNvSpPr/>
      </xdr:nvSpPr>
      <xdr:spPr>
        <a:xfrm>
          <a:off x="609600" y="12515850"/>
          <a:ext cx="7335931"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0</xdr:colOff>
      <xdr:row>5</xdr:row>
      <xdr:rowOff>0</xdr:rowOff>
    </xdr:from>
    <xdr:to>
      <xdr:col>23</xdr:col>
      <xdr:colOff>186017</xdr:colOff>
      <xdr:row>13</xdr:row>
      <xdr:rowOff>0</xdr:rowOff>
    </xdr:to>
    <xdr:sp macro="" textlink="">
      <xdr:nvSpPr>
        <xdr:cNvPr id="4" name="Rectangle 3">
          <a:extLst>
            <a:ext uri="{FF2B5EF4-FFF2-40B4-BE49-F238E27FC236}">
              <a16:creationId xmlns:a16="http://schemas.microsoft.com/office/drawing/2014/main" id="{6032634D-594F-497D-8992-2A67F07966CA}"/>
            </a:ext>
          </a:extLst>
        </xdr:cNvPr>
        <xdr:cNvSpPr/>
      </xdr:nvSpPr>
      <xdr:spPr>
        <a:xfrm>
          <a:off x="8191500" y="12515850"/>
          <a:ext cx="8644217"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17</xdr:col>
      <xdr:colOff>941294</xdr:colOff>
      <xdr:row>3</xdr:row>
      <xdr:rowOff>0</xdr:rowOff>
    </xdr:from>
    <xdr:ext cx="2554941" cy="495708"/>
    <xdr:sp macro="" textlink="">
      <xdr:nvSpPr>
        <xdr:cNvPr id="5" name="Rectangle 4">
          <a:extLst>
            <a:ext uri="{FF2B5EF4-FFF2-40B4-BE49-F238E27FC236}">
              <a16:creationId xmlns:a16="http://schemas.microsoft.com/office/drawing/2014/main" id="{1C9A458B-D756-41B1-8B22-8F8B42DE8662}"/>
            </a:ext>
          </a:extLst>
        </xdr:cNvPr>
        <xdr:cNvSpPr/>
      </xdr:nvSpPr>
      <xdr:spPr>
        <a:xfrm>
          <a:off x="10818719" y="12096750"/>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E Fixtures</a:t>
          </a:r>
        </a:p>
      </xdr:txBody>
    </xdr:sp>
    <xdr:clientData/>
  </xdr:oneCellAnchor>
  <xdr:oneCellAnchor>
    <xdr:from>
      <xdr:col>4</xdr:col>
      <xdr:colOff>0</xdr:colOff>
      <xdr:row>3</xdr:row>
      <xdr:rowOff>0</xdr:rowOff>
    </xdr:from>
    <xdr:ext cx="2374041" cy="495708"/>
    <xdr:sp macro="" textlink="">
      <xdr:nvSpPr>
        <xdr:cNvPr id="6" name="Rectangle 5">
          <a:extLst>
            <a:ext uri="{FF2B5EF4-FFF2-40B4-BE49-F238E27FC236}">
              <a16:creationId xmlns:a16="http://schemas.microsoft.com/office/drawing/2014/main" id="{0CA2F1A4-D8AF-4C86-A311-BA3CF932A2AB}"/>
            </a:ext>
          </a:extLst>
        </xdr:cNvPr>
        <xdr:cNvSpPr/>
      </xdr:nvSpPr>
      <xdr:spPr>
        <a:xfrm>
          <a:off x="2771775" y="1209675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E Table</a:t>
          </a:r>
        </a:p>
      </xdr:txBody>
    </xdr:sp>
    <xdr:clientData/>
  </xdr:oneCellAnchor>
  <xdr:twoCellAnchor>
    <xdr:from>
      <xdr:col>16</xdr:col>
      <xdr:colOff>0</xdr:colOff>
      <xdr:row>6</xdr:row>
      <xdr:rowOff>0</xdr:rowOff>
    </xdr:from>
    <xdr:to>
      <xdr:col>23</xdr:col>
      <xdr:colOff>0</xdr:colOff>
      <xdr:row>12</xdr:row>
      <xdr:rowOff>0</xdr:rowOff>
    </xdr:to>
    <xdr:sp macro="" textlink="">
      <xdr:nvSpPr>
        <xdr:cNvPr id="7" name="Rectangle 6">
          <a:extLst>
            <a:ext uri="{FF2B5EF4-FFF2-40B4-BE49-F238E27FC236}">
              <a16:creationId xmlns:a16="http://schemas.microsoft.com/office/drawing/2014/main" id="{33428326-5503-4B00-B511-EEEC5AD45648}"/>
            </a:ext>
          </a:extLst>
        </xdr:cNvPr>
        <xdr:cNvSpPr/>
      </xdr:nvSpPr>
      <xdr:spPr>
        <a:xfrm>
          <a:off x="8382000" y="12773025"/>
          <a:ext cx="8267700" cy="1543050"/>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14</xdr:row>
      <xdr:rowOff>200025</xdr:rowOff>
    </xdr:from>
    <xdr:to>
      <xdr:col>4</xdr:col>
      <xdr:colOff>9525</xdr:colOff>
      <xdr:row>16</xdr:row>
      <xdr:rowOff>9525</xdr:rowOff>
    </xdr:to>
    <xdr:sp macro="" textlink="">
      <xdr:nvSpPr>
        <xdr:cNvPr id="8" name="Rectangle 7">
          <a:extLst>
            <a:ext uri="{FF2B5EF4-FFF2-40B4-BE49-F238E27FC236}">
              <a16:creationId xmlns:a16="http://schemas.microsoft.com/office/drawing/2014/main" id="{A6781204-8BF2-45D0-ABB2-A20CF3D36BD5}"/>
            </a:ext>
          </a:extLst>
        </xdr:cNvPr>
        <xdr:cNvSpPr/>
      </xdr:nvSpPr>
      <xdr:spPr>
        <a:xfrm>
          <a:off x="800100" y="3162300"/>
          <a:ext cx="1981200" cy="219075"/>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16</xdr:row>
      <xdr:rowOff>11206</xdr:rowOff>
    </xdr:from>
    <xdr:to>
      <xdr:col>4</xdr:col>
      <xdr:colOff>0</xdr:colOff>
      <xdr:row>16</xdr:row>
      <xdr:rowOff>246529</xdr:rowOff>
    </xdr:to>
    <xdr:sp macro="" textlink="">
      <xdr:nvSpPr>
        <xdr:cNvPr id="9" name="Rectangle 8">
          <a:extLst>
            <a:ext uri="{FF2B5EF4-FFF2-40B4-BE49-F238E27FC236}">
              <a16:creationId xmlns:a16="http://schemas.microsoft.com/office/drawing/2014/main" id="{0853AC5F-5640-4CDF-86FA-83E7D7077DC9}"/>
            </a:ext>
          </a:extLst>
        </xdr:cNvPr>
        <xdr:cNvSpPr/>
      </xdr:nvSpPr>
      <xdr:spPr>
        <a:xfrm>
          <a:off x="800100" y="3383056"/>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285749</xdr:colOff>
      <xdr:row>15</xdr:row>
      <xdr:rowOff>1</xdr:rowOff>
    </xdr:from>
    <xdr:to>
      <xdr:col>11</xdr:col>
      <xdr:colOff>291352</xdr:colOff>
      <xdr:row>15</xdr:row>
      <xdr:rowOff>190501</xdr:rowOff>
    </xdr:to>
    <xdr:sp macro="" textlink="">
      <xdr:nvSpPr>
        <xdr:cNvPr id="12" name="Rectangle 11">
          <a:extLst>
            <a:ext uri="{FF2B5EF4-FFF2-40B4-BE49-F238E27FC236}">
              <a16:creationId xmlns:a16="http://schemas.microsoft.com/office/drawing/2014/main" id="{949A1377-D1BF-4A9C-8C96-EF2BCC047C6B}"/>
            </a:ext>
          </a:extLst>
        </xdr:cNvPr>
        <xdr:cNvSpPr/>
      </xdr:nvSpPr>
      <xdr:spPr>
        <a:xfrm>
          <a:off x="2495549" y="3124201"/>
          <a:ext cx="1996328"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16</xdr:row>
      <xdr:rowOff>1</xdr:rowOff>
    </xdr:from>
    <xdr:to>
      <xdr:col>12</xdr:col>
      <xdr:colOff>0</xdr:colOff>
      <xdr:row>17</xdr:row>
      <xdr:rowOff>22412</xdr:rowOff>
    </xdr:to>
    <xdr:sp macro="" textlink="">
      <xdr:nvSpPr>
        <xdr:cNvPr id="13" name="Rectangle 12">
          <a:extLst>
            <a:ext uri="{FF2B5EF4-FFF2-40B4-BE49-F238E27FC236}">
              <a16:creationId xmlns:a16="http://schemas.microsoft.com/office/drawing/2014/main" id="{B2188E7A-6310-482D-8254-D153E92BDDA3}"/>
            </a:ext>
          </a:extLst>
        </xdr:cNvPr>
        <xdr:cNvSpPr/>
      </xdr:nvSpPr>
      <xdr:spPr>
        <a:xfrm>
          <a:off x="2495550" y="3333751"/>
          <a:ext cx="2000250" cy="231961"/>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6</xdr:row>
      <xdr:rowOff>0</xdr:rowOff>
    </xdr:from>
    <xdr:to>
      <xdr:col>13</xdr:col>
      <xdr:colOff>0</xdr:colOff>
      <xdr:row>11</xdr:row>
      <xdr:rowOff>2</xdr:rowOff>
    </xdr:to>
    <xdr:sp macro="" textlink="">
      <xdr:nvSpPr>
        <xdr:cNvPr id="2" name="Rectangle 1">
          <a:extLst>
            <a:ext uri="{FF2B5EF4-FFF2-40B4-BE49-F238E27FC236}">
              <a16:creationId xmlns:a16="http://schemas.microsoft.com/office/drawing/2014/main" id="{8E0FF7CF-BAEE-421E-874F-D85609864FF2}"/>
            </a:ext>
          </a:extLst>
        </xdr:cNvPr>
        <xdr:cNvSpPr/>
      </xdr:nvSpPr>
      <xdr:spPr>
        <a:xfrm>
          <a:off x="800100" y="15459075"/>
          <a:ext cx="6943725" cy="1285877"/>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5</xdr:row>
      <xdr:rowOff>0</xdr:rowOff>
    </xdr:from>
    <xdr:to>
      <xdr:col>14</xdr:col>
      <xdr:colOff>11206</xdr:colOff>
      <xdr:row>12</xdr:row>
      <xdr:rowOff>257735</xdr:rowOff>
    </xdr:to>
    <xdr:sp macro="" textlink="">
      <xdr:nvSpPr>
        <xdr:cNvPr id="3" name="Rectangle 2">
          <a:extLst>
            <a:ext uri="{FF2B5EF4-FFF2-40B4-BE49-F238E27FC236}">
              <a16:creationId xmlns:a16="http://schemas.microsoft.com/office/drawing/2014/main" id="{BEE1D1AC-2FB7-47E3-BAB7-4BC32B476565}"/>
            </a:ext>
          </a:extLst>
        </xdr:cNvPr>
        <xdr:cNvSpPr/>
      </xdr:nvSpPr>
      <xdr:spPr>
        <a:xfrm>
          <a:off x="609600" y="15201900"/>
          <a:ext cx="7335931" cy="205796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0</xdr:colOff>
      <xdr:row>5</xdr:row>
      <xdr:rowOff>0</xdr:rowOff>
    </xdr:from>
    <xdr:to>
      <xdr:col>23</xdr:col>
      <xdr:colOff>186017</xdr:colOff>
      <xdr:row>12</xdr:row>
      <xdr:rowOff>257735</xdr:rowOff>
    </xdr:to>
    <xdr:sp macro="" textlink="">
      <xdr:nvSpPr>
        <xdr:cNvPr id="4" name="Rectangle 3">
          <a:extLst>
            <a:ext uri="{FF2B5EF4-FFF2-40B4-BE49-F238E27FC236}">
              <a16:creationId xmlns:a16="http://schemas.microsoft.com/office/drawing/2014/main" id="{C38E2ABC-BE00-4A0E-8FE5-254421DC6571}"/>
            </a:ext>
          </a:extLst>
        </xdr:cNvPr>
        <xdr:cNvSpPr/>
      </xdr:nvSpPr>
      <xdr:spPr>
        <a:xfrm>
          <a:off x="8191500" y="15201900"/>
          <a:ext cx="8644217" cy="205796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17</xdr:col>
      <xdr:colOff>952500</xdr:colOff>
      <xdr:row>3</xdr:row>
      <xdr:rowOff>0</xdr:rowOff>
    </xdr:from>
    <xdr:ext cx="2554941" cy="495708"/>
    <xdr:sp macro="" textlink="">
      <xdr:nvSpPr>
        <xdr:cNvPr id="5" name="Rectangle 4">
          <a:extLst>
            <a:ext uri="{FF2B5EF4-FFF2-40B4-BE49-F238E27FC236}">
              <a16:creationId xmlns:a16="http://schemas.microsoft.com/office/drawing/2014/main" id="{BA541525-39C8-48A9-BFC9-4D47CE299996}"/>
            </a:ext>
          </a:extLst>
        </xdr:cNvPr>
        <xdr:cNvSpPr/>
      </xdr:nvSpPr>
      <xdr:spPr>
        <a:xfrm>
          <a:off x="10829925" y="14782800"/>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F Fixtures</a:t>
          </a:r>
        </a:p>
      </xdr:txBody>
    </xdr:sp>
    <xdr:clientData/>
  </xdr:oneCellAnchor>
  <xdr:oneCellAnchor>
    <xdr:from>
      <xdr:col>4</xdr:col>
      <xdr:colOff>0</xdr:colOff>
      <xdr:row>3</xdr:row>
      <xdr:rowOff>0</xdr:rowOff>
    </xdr:from>
    <xdr:ext cx="2374041" cy="495708"/>
    <xdr:sp macro="" textlink="">
      <xdr:nvSpPr>
        <xdr:cNvPr id="6" name="Rectangle 5">
          <a:extLst>
            <a:ext uri="{FF2B5EF4-FFF2-40B4-BE49-F238E27FC236}">
              <a16:creationId xmlns:a16="http://schemas.microsoft.com/office/drawing/2014/main" id="{FB33173D-D1E1-49A9-8EF4-7861F2EC6E96}"/>
            </a:ext>
          </a:extLst>
        </xdr:cNvPr>
        <xdr:cNvSpPr/>
      </xdr:nvSpPr>
      <xdr:spPr>
        <a:xfrm>
          <a:off x="2771775" y="1478280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F Table</a:t>
          </a:r>
        </a:p>
      </xdr:txBody>
    </xdr:sp>
    <xdr:clientData/>
  </xdr:oneCellAnchor>
  <xdr:twoCellAnchor>
    <xdr:from>
      <xdr:col>16</xdr:col>
      <xdr:colOff>0</xdr:colOff>
      <xdr:row>6</xdr:row>
      <xdr:rowOff>0</xdr:rowOff>
    </xdr:from>
    <xdr:to>
      <xdr:col>23</xdr:col>
      <xdr:colOff>0</xdr:colOff>
      <xdr:row>12</xdr:row>
      <xdr:rowOff>1</xdr:rowOff>
    </xdr:to>
    <xdr:sp macro="" textlink="">
      <xdr:nvSpPr>
        <xdr:cNvPr id="7" name="Rectangle 6">
          <a:extLst>
            <a:ext uri="{FF2B5EF4-FFF2-40B4-BE49-F238E27FC236}">
              <a16:creationId xmlns:a16="http://schemas.microsoft.com/office/drawing/2014/main" id="{A9BD5E8D-EC6A-4A80-88F7-F5162794BA31}"/>
            </a:ext>
          </a:extLst>
        </xdr:cNvPr>
        <xdr:cNvSpPr/>
      </xdr:nvSpPr>
      <xdr:spPr>
        <a:xfrm>
          <a:off x="8382000" y="15459075"/>
          <a:ext cx="8267700" cy="1543051"/>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14</xdr:row>
      <xdr:rowOff>200025</xdr:rowOff>
    </xdr:from>
    <xdr:to>
      <xdr:col>4</xdr:col>
      <xdr:colOff>9525</xdr:colOff>
      <xdr:row>16</xdr:row>
      <xdr:rowOff>9525</xdr:rowOff>
    </xdr:to>
    <xdr:sp macro="" textlink="">
      <xdr:nvSpPr>
        <xdr:cNvPr id="8" name="Rectangle 7">
          <a:extLst>
            <a:ext uri="{FF2B5EF4-FFF2-40B4-BE49-F238E27FC236}">
              <a16:creationId xmlns:a16="http://schemas.microsoft.com/office/drawing/2014/main" id="{4C2880A9-D818-466E-B060-FC200A5DE84A}"/>
            </a:ext>
          </a:extLst>
        </xdr:cNvPr>
        <xdr:cNvSpPr/>
      </xdr:nvSpPr>
      <xdr:spPr>
        <a:xfrm>
          <a:off x="800100" y="3162300"/>
          <a:ext cx="1981200" cy="219075"/>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16</xdr:row>
      <xdr:rowOff>11206</xdr:rowOff>
    </xdr:from>
    <xdr:to>
      <xdr:col>4</xdr:col>
      <xdr:colOff>0</xdr:colOff>
      <xdr:row>16</xdr:row>
      <xdr:rowOff>246529</xdr:rowOff>
    </xdr:to>
    <xdr:sp macro="" textlink="">
      <xdr:nvSpPr>
        <xdr:cNvPr id="9" name="Rectangle 8">
          <a:extLst>
            <a:ext uri="{FF2B5EF4-FFF2-40B4-BE49-F238E27FC236}">
              <a16:creationId xmlns:a16="http://schemas.microsoft.com/office/drawing/2014/main" id="{06C18A1A-7069-47E9-B6CF-1CBD20D8C340}"/>
            </a:ext>
          </a:extLst>
        </xdr:cNvPr>
        <xdr:cNvSpPr/>
      </xdr:nvSpPr>
      <xdr:spPr>
        <a:xfrm>
          <a:off x="800100" y="3383056"/>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285749</xdr:colOff>
      <xdr:row>15</xdr:row>
      <xdr:rowOff>1</xdr:rowOff>
    </xdr:from>
    <xdr:to>
      <xdr:col>11</xdr:col>
      <xdr:colOff>291352</xdr:colOff>
      <xdr:row>15</xdr:row>
      <xdr:rowOff>190501</xdr:rowOff>
    </xdr:to>
    <xdr:sp macro="" textlink="">
      <xdr:nvSpPr>
        <xdr:cNvPr id="12" name="Rectangle 11">
          <a:extLst>
            <a:ext uri="{FF2B5EF4-FFF2-40B4-BE49-F238E27FC236}">
              <a16:creationId xmlns:a16="http://schemas.microsoft.com/office/drawing/2014/main" id="{B75B55F2-6542-4121-992F-83EA2B6F6AB1}"/>
            </a:ext>
          </a:extLst>
        </xdr:cNvPr>
        <xdr:cNvSpPr/>
      </xdr:nvSpPr>
      <xdr:spPr>
        <a:xfrm>
          <a:off x="2495549" y="3124201"/>
          <a:ext cx="1996328"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16</xdr:row>
      <xdr:rowOff>1</xdr:rowOff>
    </xdr:from>
    <xdr:to>
      <xdr:col>12</xdr:col>
      <xdr:colOff>0</xdr:colOff>
      <xdr:row>17</xdr:row>
      <xdr:rowOff>22412</xdr:rowOff>
    </xdr:to>
    <xdr:sp macro="" textlink="">
      <xdr:nvSpPr>
        <xdr:cNvPr id="13" name="Rectangle 12">
          <a:extLst>
            <a:ext uri="{FF2B5EF4-FFF2-40B4-BE49-F238E27FC236}">
              <a16:creationId xmlns:a16="http://schemas.microsoft.com/office/drawing/2014/main" id="{5248945B-BB75-440C-82ED-BC40ACA3756F}"/>
            </a:ext>
          </a:extLst>
        </xdr:cNvPr>
        <xdr:cNvSpPr/>
      </xdr:nvSpPr>
      <xdr:spPr>
        <a:xfrm>
          <a:off x="2495550" y="3333751"/>
          <a:ext cx="2000250" cy="231961"/>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0</xdr:colOff>
      <xdr:row>6</xdr:row>
      <xdr:rowOff>-1</xdr:rowOff>
    </xdr:from>
    <xdr:to>
      <xdr:col>13</xdr:col>
      <xdr:colOff>0</xdr:colOff>
      <xdr:row>13</xdr:row>
      <xdr:rowOff>-1</xdr:rowOff>
    </xdr:to>
    <xdr:sp macro="" textlink="">
      <xdr:nvSpPr>
        <xdr:cNvPr id="2" name="Rectangle 1">
          <a:extLst>
            <a:ext uri="{FF2B5EF4-FFF2-40B4-BE49-F238E27FC236}">
              <a16:creationId xmlns:a16="http://schemas.microsoft.com/office/drawing/2014/main" id="{F86C6191-CF0C-440C-8181-E97B03C872A5}"/>
            </a:ext>
          </a:extLst>
        </xdr:cNvPr>
        <xdr:cNvSpPr/>
      </xdr:nvSpPr>
      <xdr:spPr>
        <a:xfrm>
          <a:off x="800100" y="18097499"/>
          <a:ext cx="6943725" cy="1800225"/>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5</xdr:row>
      <xdr:rowOff>0</xdr:rowOff>
    </xdr:from>
    <xdr:to>
      <xdr:col>14</xdr:col>
      <xdr:colOff>11206</xdr:colOff>
      <xdr:row>13</xdr:row>
      <xdr:rowOff>201705</xdr:rowOff>
    </xdr:to>
    <xdr:sp macro="" textlink="">
      <xdr:nvSpPr>
        <xdr:cNvPr id="3" name="Rectangle 2">
          <a:extLst>
            <a:ext uri="{FF2B5EF4-FFF2-40B4-BE49-F238E27FC236}">
              <a16:creationId xmlns:a16="http://schemas.microsoft.com/office/drawing/2014/main" id="{2CBFEA77-CE46-41D3-90A2-C8E4502A2D4D}"/>
            </a:ext>
          </a:extLst>
        </xdr:cNvPr>
        <xdr:cNvSpPr/>
      </xdr:nvSpPr>
      <xdr:spPr>
        <a:xfrm>
          <a:off x="609600" y="17887950"/>
          <a:ext cx="7335931" cy="221148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xdr:col>
      <xdr:colOff>0</xdr:colOff>
      <xdr:row>3</xdr:row>
      <xdr:rowOff>0</xdr:rowOff>
    </xdr:from>
    <xdr:ext cx="2374041" cy="495708"/>
    <xdr:sp macro="" textlink="">
      <xdr:nvSpPr>
        <xdr:cNvPr id="4" name="Rectangle 3">
          <a:extLst>
            <a:ext uri="{FF2B5EF4-FFF2-40B4-BE49-F238E27FC236}">
              <a16:creationId xmlns:a16="http://schemas.microsoft.com/office/drawing/2014/main" id="{28F30B57-2EF7-4109-BFB8-6EFEE5C425E3}"/>
            </a:ext>
          </a:extLst>
        </xdr:cNvPr>
        <xdr:cNvSpPr/>
      </xdr:nvSpPr>
      <xdr:spPr>
        <a:xfrm>
          <a:off x="2771775" y="1746885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3rd</a:t>
          </a:r>
          <a:r>
            <a:rPr lang="en-US" sz="2400" b="1" cap="none" spc="0" baseline="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Place</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Table</a:t>
          </a:r>
        </a:p>
      </xdr:txBody>
    </xdr:sp>
    <xdr:clientData/>
  </xdr:oneCellAnchor>
  <xdr:twoCellAnchor>
    <xdr:from>
      <xdr:col>2</xdr:col>
      <xdr:colOff>0</xdr:colOff>
      <xdr:row>17</xdr:row>
      <xdr:rowOff>9525</xdr:rowOff>
    </xdr:from>
    <xdr:to>
      <xdr:col>7</xdr:col>
      <xdr:colOff>0</xdr:colOff>
      <xdr:row>17</xdr:row>
      <xdr:rowOff>200025</xdr:rowOff>
    </xdr:to>
    <xdr:sp macro="" textlink="">
      <xdr:nvSpPr>
        <xdr:cNvPr id="5" name="Rectangle 4">
          <a:extLst>
            <a:ext uri="{FF2B5EF4-FFF2-40B4-BE49-F238E27FC236}">
              <a16:creationId xmlns:a16="http://schemas.microsoft.com/office/drawing/2014/main" id="{9EA0458B-2867-4B0F-94D6-698E62A825A3}"/>
            </a:ext>
          </a:extLst>
        </xdr:cNvPr>
        <xdr:cNvSpPr/>
      </xdr:nvSpPr>
      <xdr:spPr>
        <a:xfrm>
          <a:off x="800100" y="3600450"/>
          <a:ext cx="3200400" cy="190500"/>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409575</xdr:colOff>
      <xdr:row>16</xdr:row>
      <xdr:rowOff>0</xdr:rowOff>
    </xdr:from>
    <xdr:to>
      <xdr:col>6</xdr:col>
      <xdr:colOff>403412</xdr:colOff>
      <xdr:row>16</xdr:row>
      <xdr:rowOff>246529</xdr:rowOff>
    </xdr:to>
    <xdr:sp macro="" textlink="">
      <xdr:nvSpPr>
        <xdr:cNvPr id="6" name="Rectangle 5">
          <a:extLst>
            <a:ext uri="{FF2B5EF4-FFF2-40B4-BE49-F238E27FC236}">
              <a16:creationId xmlns:a16="http://schemas.microsoft.com/office/drawing/2014/main" id="{8E8E442A-E611-4449-82E8-77B17A161F16}"/>
            </a:ext>
          </a:extLst>
        </xdr:cNvPr>
        <xdr:cNvSpPr/>
      </xdr:nvSpPr>
      <xdr:spPr>
        <a:xfrm>
          <a:off x="3181350" y="3162300"/>
          <a:ext cx="2041712" cy="208429"/>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86</xdr:col>
      <xdr:colOff>0</xdr:colOff>
      <xdr:row>29</xdr:row>
      <xdr:rowOff>0</xdr:rowOff>
    </xdr:from>
    <xdr:to>
      <xdr:col>90</xdr:col>
      <xdr:colOff>145677</xdr:colOff>
      <xdr:row>33</xdr:row>
      <xdr:rowOff>212913</xdr:rowOff>
    </xdr:to>
    <xdr:sp macro="" textlink="">
      <xdr:nvSpPr>
        <xdr:cNvPr id="53" name="Rectangle 52">
          <a:extLst>
            <a:ext uri="{FF2B5EF4-FFF2-40B4-BE49-F238E27FC236}">
              <a16:creationId xmlns:a16="http://schemas.microsoft.com/office/drawing/2014/main" id="{85F61F74-DF43-4869-9CAD-AD62DFAF4786}"/>
            </a:ext>
          </a:extLst>
        </xdr:cNvPr>
        <xdr:cNvSpPr/>
      </xdr:nvSpPr>
      <xdr:spPr>
        <a:xfrm>
          <a:off x="76771500" y="6678706"/>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86</xdr:col>
      <xdr:colOff>0</xdr:colOff>
      <xdr:row>21</xdr:row>
      <xdr:rowOff>0</xdr:rowOff>
    </xdr:from>
    <xdr:to>
      <xdr:col>90</xdr:col>
      <xdr:colOff>145677</xdr:colOff>
      <xdr:row>25</xdr:row>
      <xdr:rowOff>212913</xdr:rowOff>
    </xdr:to>
    <xdr:sp macro="" textlink="">
      <xdr:nvSpPr>
        <xdr:cNvPr id="52" name="Rectangle 51">
          <a:extLst>
            <a:ext uri="{FF2B5EF4-FFF2-40B4-BE49-F238E27FC236}">
              <a16:creationId xmlns:a16="http://schemas.microsoft.com/office/drawing/2014/main" id="{5A459E87-49BB-41BE-8454-BC008CC59548}"/>
            </a:ext>
          </a:extLst>
        </xdr:cNvPr>
        <xdr:cNvSpPr/>
      </xdr:nvSpPr>
      <xdr:spPr>
        <a:xfrm>
          <a:off x="76771500" y="4885765"/>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86</xdr:col>
      <xdr:colOff>0</xdr:colOff>
      <xdr:row>13</xdr:row>
      <xdr:rowOff>0</xdr:rowOff>
    </xdr:from>
    <xdr:to>
      <xdr:col>90</xdr:col>
      <xdr:colOff>145677</xdr:colOff>
      <xdr:row>17</xdr:row>
      <xdr:rowOff>212913</xdr:rowOff>
    </xdr:to>
    <xdr:sp macro="" textlink="">
      <xdr:nvSpPr>
        <xdr:cNvPr id="51" name="Rectangle 50">
          <a:extLst>
            <a:ext uri="{FF2B5EF4-FFF2-40B4-BE49-F238E27FC236}">
              <a16:creationId xmlns:a16="http://schemas.microsoft.com/office/drawing/2014/main" id="{E2C28A68-FB6C-4EC6-9EAE-407818A21707}"/>
            </a:ext>
          </a:extLst>
        </xdr:cNvPr>
        <xdr:cNvSpPr/>
      </xdr:nvSpPr>
      <xdr:spPr>
        <a:xfrm>
          <a:off x="76771500" y="3092824"/>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92</xdr:col>
      <xdr:colOff>0</xdr:colOff>
      <xdr:row>25</xdr:row>
      <xdr:rowOff>0</xdr:rowOff>
    </xdr:from>
    <xdr:to>
      <xdr:col>96</xdr:col>
      <xdr:colOff>145676</xdr:colOff>
      <xdr:row>29</xdr:row>
      <xdr:rowOff>212912</xdr:rowOff>
    </xdr:to>
    <xdr:sp macro="" textlink="">
      <xdr:nvSpPr>
        <xdr:cNvPr id="54" name="Rectangle 53">
          <a:extLst>
            <a:ext uri="{FF2B5EF4-FFF2-40B4-BE49-F238E27FC236}">
              <a16:creationId xmlns:a16="http://schemas.microsoft.com/office/drawing/2014/main" id="{1329E0CA-3022-47A5-9C89-7FA33CA16AF8}"/>
            </a:ext>
          </a:extLst>
        </xdr:cNvPr>
        <xdr:cNvSpPr/>
      </xdr:nvSpPr>
      <xdr:spPr>
        <a:xfrm>
          <a:off x="80738382" y="5782235"/>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92</xdr:col>
      <xdr:colOff>0</xdr:colOff>
      <xdr:row>9</xdr:row>
      <xdr:rowOff>0</xdr:rowOff>
    </xdr:from>
    <xdr:to>
      <xdr:col>96</xdr:col>
      <xdr:colOff>145676</xdr:colOff>
      <xdr:row>13</xdr:row>
      <xdr:rowOff>212912</xdr:rowOff>
    </xdr:to>
    <xdr:sp macro="" textlink="">
      <xdr:nvSpPr>
        <xdr:cNvPr id="55" name="Rectangle 54">
          <a:extLst>
            <a:ext uri="{FF2B5EF4-FFF2-40B4-BE49-F238E27FC236}">
              <a16:creationId xmlns:a16="http://schemas.microsoft.com/office/drawing/2014/main" id="{84BDC2F5-992B-4599-9A91-B726A8274225}"/>
            </a:ext>
          </a:extLst>
        </xdr:cNvPr>
        <xdr:cNvSpPr/>
      </xdr:nvSpPr>
      <xdr:spPr>
        <a:xfrm>
          <a:off x="80738382" y="2196353"/>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98</xdr:col>
      <xdr:colOff>0</xdr:colOff>
      <xdr:row>17</xdr:row>
      <xdr:rowOff>0</xdr:rowOff>
    </xdr:from>
    <xdr:to>
      <xdr:col>102</xdr:col>
      <xdr:colOff>145677</xdr:colOff>
      <xdr:row>21</xdr:row>
      <xdr:rowOff>212912</xdr:rowOff>
    </xdr:to>
    <xdr:sp macro="" textlink="">
      <xdr:nvSpPr>
        <xdr:cNvPr id="56" name="Rectangle 55">
          <a:extLst>
            <a:ext uri="{FF2B5EF4-FFF2-40B4-BE49-F238E27FC236}">
              <a16:creationId xmlns:a16="http://schemas.microsoft.com/office/drawing/2014/main" id="{F1006707-D787-4CA3-8BAA-7F62FF901AB8}"/>
            </a:ext>
          </a:extLst>
        </xdr:cNvPr>
        <xdr:cNvSpPr/>
      </xdr:nvSpPr>
      <xdr:spPr>
        <a:xfrm>
          <a:off x="84705265" y="3989294"/>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86</xdr:col>
      <xdr:colOff>0</xdr:colOff>
      <xdr:row>5</xdr:row>
      <xdr:rowOff>0</xdr:rowOff>
    </xdr:from>
    <xdr:to>
      <xdr:col>90</xdr:col>
      <xdr:colOff>145677</xdr:colOff>
      <xdr:row>9</xdr:row>
      <xdr:rowOff>212912</xdr:rowOff>
    </xdr:to>
    <xdr:sp macro="" textlink="">
      <xdr:nvSpPr>
        <xdr:cNvPr id="50" name="Rectangle 49">
          <a:extLst>
            <a:ext uri="{FF2B5EF4-FFF2-40B4-BE49-F238E27FC236}">
              <a16:creationId xmlns:a16="http://schemas.microsoft.com/office/drawing/2014/main" id="{0A862BF2-01DA-4847-AF22-12F7704E1B01}"/>
            </a:ext>
          </a:extLst>
        </xdr:cNvPr>
        <xdr:cNvSpPr/>
      </xdr:nvSpPr>
      <xdr:spPr>
        <a:xfrm>
          <a:off x="76771500" y="1299882"/>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80</xdr:col>
      <xdr:colOff>1</xdr:colOff>
      <xdr:row>2</xdr:row>
      <xdr:rowOff>324970</xdr:rowOff>
    </xdr:from>
    <xdr:to>
      <xdr:col>85</xdr:col>
      <xdr:colOff>1</xdr:colOff>
      <xdr:row>36</xdr:row>
      <xdr:rowOff>-1</xdr:rowOff>
    </xdr:to>
    <xdr:sp macro="" textlink="">
      <xdr:nvSpPr>
        <xdr:cNvPr id="49" name="Rectangle 48">
          <a:extLst>
            <a:ext uri="{FF2B5EF4-FFF2-40B4-BE49-F238E27FC236}">
              <a16:creationId xmlns:a16="http://schemas.microsoft.com/office/drawing/2014/main" id="{57C2E309-F24F-447A-A06F-77A434AE0446}"/>
            </a:ext>
          </a:extLst>
        </xdr:cNvPr>
        <xdr:cNvSpPr/>
      </xdr:nvSpPr>
      <xdr:spPr>
        <a:xfrm>
          <a:off x="72804619" y="862852"/>
          <a:ext cx="3361764" cy="7373471"/>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84</xdr:col>
      <xdr:colOff>19050</xdr:colOff>
      <xdr:row>6</xdr:row>
      <xdr:rowOff>0</xdr:rowOff>
    </xdr:from>
    <xdr:to>
      <xdr:col>87</xdr:col>
      <xdr:colOff>0</xdr:colOff>
      <xdr:row>7</xdr:row>
      <xdr:rowOff>104775</xdr:rowOff>
    </xdr:to>
    <xdr:cxnSp macro="">
      <xdr:nvCxnSpPr>
        <xdr:cNvPr id="3" name="Connector: Curved 2">
          <a:extLst>
            <a:ext uri="{FF2B5EF4-FFF2-40B4-BE49-F238E27FC236}">
              <a16:creationId xmlns:a16="http://schemas.microsoft.com/office/drawing/2014/main" id="{B5349CB4-392F-451F-9354-49FDC8F88B96}"/>
            </a:ext>
          </a:extLst>
        </xdr:cNvPr>
        <xdr:cNvCxnSpPr/>
      </xdr:nvCxnSpPr>
      <xdr:spPr>
        <a:xfrm>
          <a:off x="2457450" y="571500"/>
          <a:ext cx="1200150" cy="295275"/>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8</xdr:row>
      <xdr:rowOff>76201</xdr:rowOff>
    </xdr:from>
    <xdr:to>
      <xdr:col>87</xdr:col>
      <xdr:colOff>0</xdr:colOff>
      <xdr:row>10</xdr:row>
      <xdr:rowOff>9525</xdr:rowOff>
    </xdr:to>
    <xdr:cxnSp macro="">
      <xdr:nvCxnSpPr>
        <xdr:cNvPr id="8" name="Connector: Curved 7">
          <a:extLst>
            <a:ext uri="{FF2B5EF4-FFF2-40B4-BE49-F238E27FC236}">
              <a16:creationId xmlns:a16="http://schemas.microsoft.com/office/drawing/2014/main" id="{6D8DF234-E6A9-4CA5-9B20-F140864A10C6}"/>
            </a:ext>
          </a:extLst>
        </xdr:cNvPr>
        <xdr:cNvCxnSpPr/>
      </xdr:nvCxnSpPr>
      <xdr:spPr>
        <a:xfrm flipV="1">
          <a:off x="2457450" y="1028701"/>
          <a:ext cx="1200150" cy="314324"/>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14</xdr:row>
      <xdr:rowOff>0</xdr:rowOff>
    </xdr:from>
    <xdr:to>
      <xdr:col>87</xdr:col>
      <xdr:colOff>0</xdr:colOff>
      <xdr:row>15</xdr:row>
      <xdr:rowOff>104775</xdr:rowOff>
    </xdr:to>
    <xdr:cxnSp macro="">
      <xdr:nvCxnSpPr>
        <xdr:cNvPr id="12" name="Connector: Curved 11">
          <a:extLst>
            <a:ext uri="{FF2B5EF4-FFF2-40B4-BE49-F238E27FC236}">
              <a16:creationId xmlns:a16="http://schemas.microsoft.com/office/drawing/2014/main" id="{DBB59B80-E044-411F-BF01-65363055735C}"/>
            </a:ext>
          </a:extLst>
        </xdr:cNvPr>
        <xdr:cNvCxnSpPr/>
      </xdr:nvCxnSpPr>
      <xdr:spPr>
        <a:xfrm>
          <a:off x="33909000" y="2295525"/>
          <a:ext cx="1200150" cy="323850"/>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22</xdr:row>
      <xdr:rowOff>0</xdr:rowOff>
    </xdr:from>
    <xdr:to>
      <xdr:col>87</xdr:col>
      <xdr:colOff>0</xdr:colOff>
      <xdr:row>23</xdr:row>
      <xdr:rowOff>104775</xdr:rowOff>
    </xdr:to>
    <xdr:cxnSp macro="">
      <xdr:nvCxnSpPr>
        <xdr:cNvPr id="13" name="Connector: Curved 12">
          <a:extLst>
            <a:ext uri="{FF2B5EF4-FFF2-40B4-BE49-F238E27FC236}">
              <a16:creationId xmlns:a16="http://schemas.microsoft.com/office/drawing/2014/main" id="{C582E319-7A4C-4188-8E82-4C753ED97EE7}"/>
            </a:ext>
          </a:extLst>
        </xdr:cNvPr>
        <xdr:cNvCxnSpPr/>
      </xdr:nvCxnSpPr>
      <xdr:spPr>
        <a:xfrm>
          <a:off x="33909000" y="3971925"/>
          <a:ext cx="1200150" cy="323850"/>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30</xdr:row>
      <xdr:rowOff>0</xdr:rowOff>
    </xdr:from>
    <xdr:to>
      <xdr:col>87</xdr:col>
      <xdr:colOff>0</xdr:colOff>
      <xdr:row>31</xdr:row>
      <xdr:rowOff>104775</xdr:rowOff>
    </xdr:to>
    <xdr:cxnSp macro="">
      <xdr:nvCxnSpPr>
        <xdr:cNvPr id="14" name="Connector: Curved 13">
          <a:extLst>
            <a:ext uri="{FF2B5EF4-FFF2-40B4-BE49-F238E27FC236}">
              <a16:creationId xmlns:a16="http://schemas.microsoft.com/office/drawing/2014/main" id="{438DEB8F-D077-4862-A97D-6ABCB6D46169}"/>
            </a:ext>
          </a:extLst>
        </xdr:cNvPr>
        <xdr:cNvCxnSpPr/>
      </xdr:nvCxnSpPr>
      <xdr:spPr>
        <a:xfrm>
          <a:off x="33909000" y="5648325"/>
          <a:ext cx="1200150" cy="323850"/>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16</xdr:row>
      <xdr:rowOff>76200</xdr:rowOff>
    </xdr:from>
    <xdr:to>
      <xdr:col>87</xdr:col>
      <xdr:colOff>0</xdr:colOff>
      <xdr:row>18</xdr:row>
      <xdr:rowOff>9524</xdr:rowOff>
    </xdr:to>
    <xdr:cxnSp macro="">
      <xdr:nvCxnSpPr>
        <xdr:cNvPr id="16" name="Connector: Curved 15">
          <a:extLst>
            <a:ext uri="{FF2B5EF4-FFF2-40B4-BE49-F238E27FC236}">
              <a16:creationId xmlns:a16="http://schemas.microsoft.com/office/drawing/2014/main" id="{BE7463E4-1C1D-4809-9291-6C575DE6E132}"/>
            </a:ext>
          </a:extLst>
        </xdr:cNvPr>
        <xdr:cNvCxnSpPr/>
      </xdr:nvCxnSpPr>
      <xdr:spPr>
        <a:xfrm flipV="1">
          <a:off x="33909000" y="2800350"/>
          <a:ext cx="1200150" cy="342899"/>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24</xdr:row>
      <xdr:rowOff>66675</xdr:rowOff>
    </xdr:from>
    <xdr:to>
      <xdr:col>87</xdr:col>
      <xdr:colOff>0</xdr:colOff>
      <xdr:row>25</xdr:row>
      <xdr:rowOff>219074</xdr:rowOff>
    </xdr:to>
    <xdr:cxnSp macro="">
      <xdr:nvCxnSpPr>
        <xdr:cNvPr id="17" name="Connector: Curved 16">
          <a:extLst>
            <a:ext uri="{FF2B5EF4-FFF2-40B4-BE49-F238E27FC236}">
              <a16:creationId xmlns:a16="http://schemas.microsoft.com/office/drawing/2014/main" id="{904C0EEA-1FD1-448E-B369-29F913C425AF}"/>
            </a:ext>
          </a:extLst>
        </xdr:cNvPr>
        <xdr:cNvCxnSpPr/>
      </xdr:nvCxnSpPr>
      <xdr:spPr>
        <a:xfrm flipV="1">
          <a:off x="33909000" y="4467225"/>
          <a:ext cx="1200150" cy="342899"/>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32</xdr:row>
      <xdr:rowOff>66675</xdr:rowOff>
    </xdr:from>
    <xdr:to>
      <xdr:col>87</xdr:col>
      <xdr:colOff>0</xdr:colOff>
      <xdr:row>33</xdr:row>
      <xdr:rowOff>219074</xdr:rowOff>
    </xdr:to>
    <xdr:cxnSp macro="">
      <xdr:nvCxnSpPr>
        <xdr:cNvPr id="18" name="Connector: Curved 17">
          <a:extLst>
            <a:ext uri="{FF2B5EF4-FFF2-40B4-BE49-F238E27FC236}">
              <a16:creationId xmlns:a16="http://schemas.microsoft.com/office/drawing/2014/main" id="{68F05B91-385C-4524-9B46-FC7EFD2AB501}"/>
            </a:ext>
          </a:extLst>
        </xdr:cNvPr>
        <xdr:cNvCxnSpPr/>
      </xdr:nvCxnSpPr>
      <xdr:spPr>
        <a:xfrm flipV="1">
          <a:off x="33909000" y="6143625"/>
          <a:ext cx="1200150" cy="342899"/>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22412</xdr:colOff>
      <xdr:row>8</xdr:row>
      <xdr:rowOff>0</xdr:rowOff>
    </xdr:from>
    <xdr:to>
      <xdr:col>92</xdr:col>
      <xdr:colOff>145677</xdr:colOff>
      <xdr:row>11</xdr:row>
      <xdr:rowOff>134471</xdr:rowOff>
    </xdr:to>
    <xdr:cxnSp macro="">
      <xdr:nvCxnSpPr>
        <xdr:cNvPr id="19" name="Connector: Curved 18">
          <a:extLst>
            <a:ext uri="{FF2B5EF4-FFF2-40B4-BE49-F238E27FC236}">
              <a16:creationId xmlns:a16="http://schemas.microsoft.com/office/drawing/2014/main" id="{1FF4F7E2-C02A-4620-BCFE-FF5DC986FC8E}"/>
            </a:ext>
          </a:extLst>
        </xdr:cNvPr>
        <xdr:cNvCxnSpPr/>
      </xdr:nvCxnSpPr>
      <xdr:spPr>
        <a:xfrm>
          <a:off x="78979059" y="1972235"/>
          <a:ext cx="885265" cy="806824"/>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22412</xdr:colOff>
      <xdr:row>23</xdr:row>
      <xdr:rowOff>224117</xdr:rowOff>
    </xdr:from>
    <xdr:to>
      <xdr:col>92</xdr:col>
      <xdr:colOff>145677</xdr:colOff>
      <xdr:row>27</xdr:row>
      <xdr:rowOff>134470</xdr:rowOff>
    </xdr:to>
    <xdr:cxnSp macro="">
      <xdr:nvCxnSpPr>
        <xdr:cNvPr id="21" name="Connector: Curved 20">
          <a:extLst>
            <a:ext uri="{FF2B5EF4-FFF2-40B4-BE49-F238E27FC236}">
              <a16:creationId xmlns:a16="http://schemas.microsoft.com/office/drawing/2014/main" id="{093E9C47-C354-4BD9-B1C4-FF90BF966E79}"/>
            </a:ext>
          </a:extLst>
        </xdr:cNvPr>
        <xdr:cNvCxnSpPr/>
      </xdr:nvCxnSpPr>
      <xdr:spPr>
        <a:xfrm>
          <a:off x="78979059" y="5558117"/>
          <a:ext cx="885265" cy="806824"/>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26276</xdr:colOff>
      <xdr:row>12</xdr:row>
      <xdr:rowOff>0</xdr:rowOff>
    </xdr:from>
    <xdr:to>
      <xdr:col>99</xdr:col>
      <xdr:colOff>6569</xdr:colOff>
      <xdr:row>19</xdr:row>
      <xdr:rowOff>124811</xdr:rowOff>
    </xdr:to>
    <xdr:cxnSp macro="">
      <xdr:nvCxnSpPr>
        <xdr:cNvPr id="36" name="Connector: Curved 35">
          <a:extLst>
            <a:ext uri="{FF2B5EF4-FFF2-40B4-BE49-F238E27FC236}">
              <a16:creationId xmlns:a16="http://schemas.microsoft.com/office/drawing/2014/main" id="{D918A679-E59C-4EE3-81F0-6D25C2CBEE51}"/>
            </a:ext>
          </a:extLst>
        </xdr:cNvPr>
        <xdr:cNvCxnSpPr/>
      </xdr:nvCxnSpPr>
      <xdr:spPr>
        <a:xfrm>
          <a:off x="82939759" y="2798379"/>
          <a:ext cx="2305707" cy="1642242"/>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23812</xdr:colOff>
      <xdr:row>20</xdr:row>
      <xdr:rowOff>89297</xdr:rowOff>
    </xdr:from>
    <xdr:to>
      <xdr:col>99</xdr:col>
      <xdr:colOff>5953</xdr:colOff>
      <xdr:row>28</xdr:row>
      <xdr:rowOff>0</xdr:rowOff>
    </xdr:to>
    <xdr:cxnSp macro="">
      <xdr:nvCxnSpPr>
        <xdr:cNvPr id="40" name="Connector: Curved 39">
          <a:extLst>
            <a:ext uri="{FF2B5EF4-FFF2-40B4-BE49-F238E27FC236}">
              <a16:creationId xmlns:a16="http://schemas.microsoft.com/office/drawing/2014/main" id="{226555B0-5BC6-44A8-B759-470BF7EA901F}"/>
            </a:ext>
          </a:extLst>
        </xdr:cNvPr>
        <xdr:cNvCxnSpPr/>
      </xdr:nvCxnSpPr>
      <xdr:spPr>
        <a:xfrm flipV="1">
          <a:off x="82932984" y="4673203"/>
          <a:ext cx="2565797" cy="1672828"/>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11206</xdr:colOff>
      <xdr:row>12</xdr:row>
      <xdr:rowOff>100853</xdr:rowOff>
    </xdr:from>
    <xdr:to>
      <xdr:col>92</xdr:col>
      <xdr:colOff>145676</xdr:colOff>
      <xdr:row>16</xdr:row>
      <xdr:rowOff>22972</xdr:rowOff>
    </xdr:to>
    <xdr:cxnSp macro="">
      <xdr:nvCxnSpPr>
        <xdr:cNvPr id="46" name="Connector: Curved 45">
          <a:extLst>
            <a:ext uri="{FF2B5EF4-FFF2-40B4-BE49-F238E27FC236}">
              <a16:creationId xmlns:a16="http://schemas.microsoft.com/office/drawing/2014/main" id="{41399E74-69EC-44A5-BCFC-762E41955F44}"/>
            </a:ext>
          </a:extLst>
        </xdr:cNvPr>
        <xdr:cNvCxnSpPr/>
      </xdr:nvCxnSpPr>
      <xdr:spPr>
        <a:xfrm flipV="1">
          <a:off x="78598059" y="2969559"/>
          <a:ext cx="896470" cy="818589"/>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11206</xdr:colOff>
      <xdr:row>28</xdr:row>
      <xdr:rowOff>89647</xdr:rowOff>
    </xdr:from>
    <xdr:to>
      <xdr:col>92</xdr:col>
      <xdr:colOff>145676</xdr:colOff>
      <xdr:row>32</xdr:row>
      <xdr:rowOff>11765</xdr:rowOff>
    </xdr:to>
    <xdr:cxnSp macro="">
      <xdr:nvCxnSpPr>
        <xdr:cNvPr id="48" name="Connector: Curved 47">
          <a:extLst>
            <a:ext uri="{FF2B5EF4-FFF2-40B4-BE49-F238E27FC236}">
              <a16:creationId xmlns:a16="http://schemas.microsoft.com/office/drawing/2014/main" id="{68774E21-D18E-4A1D-B8CF-B7D458F837AF}"/>
            </a:ext>
          </a:extLst>
        </xdr:cNvPr>
        <xdr:cNvCxnSpPr/>
      </xdr:nvCxnSpPr>
      <xdr:spPr>
        <a:xfrm flipV="1">
          <a:off x="78598059" y="6544235"/>
          <a:ext cx="896470" cy="818589"/>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1</xdr:colOff>
      <xdr:row>5</xdr:row>
      <xdr:rowOff>0</xdr:rowOff>
    </xdr:from>
    <xdr:to>
      <xdr:col>84</xdr:col>
      <xdr:colOff>1</xdr:colOff>
      <xdr:row>7</xdr:row>
      <xdr:rowOff>0</xdr:rowOff>
    </xdr:to>
    <xdr:sp macro="" textlink="">
      <xdr:nvSpPr>
        <xdr:cNvPr id="57" name="Rectangle 56">
          <a:extLst>
            <a:ext uri="{FF2B5EF4-FFF2-40B4-BE49-F238E27FC236}">
              <a16:creationId xmlns:a16="http://schemas.microsoft.com/office/drawing/2014/main" id="{CB1EC863-633C-4BEA-80BE-5E908F40FD75}"/>
            </a:ext>
          </a:extLst>
        </xdr:cNvPr>
        <xdr:cNvSpPr/>
      </xdr:nvSpPr>
      <xdr:spPr>
        <a:xfrm>
          <a:off x="72961501" y="1299882"/>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9</xdr:row>
      <xdr:rowOff>0</xdr:rowOff>
    </xdr:from>
    <xdr:to>
      <xdr:col>84</xdr:col>
      <xdr:colOff>0</xdr:colOff>
      <xdr:row>11</xdr:row>
      <xdr:rowOff>1</xdr:rowOff>
    </xdr:to>
    <xdr:sp macro="" textlink="">
      <xdr:nvSpPr>
        <xdr:cNvPr id="58" name="Rectangle 57">
          <a:extLst>
            <a:ext uri="{FF2B5EF4-FFF2-40B4-BE49-F238E27FC236}">
              <a16:creationId xmlns:a16="http://schemas.microsoft.com/office/drawing/2014/main" id="{ADE186F1-E729-4834-9B42-6527D2AFADAD}"/>
            </a:ext>
          </a:extLst>
        </xdr:cNvPr>
        <xdr:cNvSpPr/>
      </xdr:nvSpPr>
      <xdr:spPr>
        <a:xfrm>
          <a:off x="72961500" y="2196353"/>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13</xdr:row>
      <xdr:rowOff>0</xdr:rowOff>
    </xdr:from>
    <xdr:to>
      <xdr:col>84</xdr:col>
      <xdr:colOff>0</xdr:colOff>
      <xdr:row>15</xdr:row>
      <xdr:rowOff>1</xdr:rowOff>
    </xdr:to>
    <xdr:sp macro="" textlink="">
      <xdr:nvSpPr>
        <xdr:cNvPr id="59" name="Rectangle 58">
          <a:extLst>
            <a:ext uri="{FF2B5EF4-FFF2-40B4-BE49-F238E27FC236}">
              <a16:creationId xmlns:a16="http://schemas.microsoft.com/office/drawing/2014/main" id="{A8C0B1C8-5A19-494A-88F2-E356FD5D031E}"/>
            </a:ext>
          </a:extLst>
        </xdr:cNvPr>
        <xdr:cNvSpPr/>
      </xdr:nvSpPr>
      <xdr:spPr>
        <a:xfrm>
          <a:off x="72961500" y="3092824"/>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17</xdr:row>
      <xdr:rowOff>0</xdr:rowOff>
    </xdr:from>
    <xdr:to>
      <xdr:col>84</xdr:col>
      <xdr:colOff>0</xdr:colOff>
      <xdr:row>19</xdr:row>
      <xdr:rowOff>1</xdr:rowOff>
    </xdr:to>
    <xdr:sp macro="" textlink="">
      <xdr:nvSpPr>
        <xdr:cNvPr id="60" name="Rectangle 59">
          <a:extLst>
            <a:ext uri="{FF2B5EF4-FFF2-40B4-BE49-F238E27FC236}">
              <a16:creationId xmlns:a16="http://schemas.microsoft.com/office/drawing/2014/main" id="{24DDFB1D-008F-47C1-9238-EA5FDE9EC151}"/>
            </a:ext>
          </a:extLst>
        </xdr:cNvPr>
        <xdr:cNvSpPr/>
      </xdr:nvSpPr>
      <xdr:spPr>
        <a:xfrm>
          <a:off x="72961500" y="3989294"/>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21</xdr:row>
      <xdr:rowOff>0</xdr:rowOff>
    </xdr:from>
    <xdr:to>
      <xdr:col>84</xdr:col>
      <xdr:colOff>0</xdr:colOff>
      <xdr:row>23</xdr:row>
      <xdr:rowOff>1</xdr:rowOff>
    </xdr:to>
    <xdr:sp macro="" textlink="">
      <xdr:nvSpPr>
        <xdr:cNvPr id="61" name="Rectangle 60">
          <a:extLst>
            <a:ext uri="{FF2B5EF4-FFF2-40B4-BE49-F238E27FC236}">
              <a16:creationId xmlns:a16="http://schemas.microsoft.com/office/drawing/2014/main" id="{F09A4A4F-3BE5-4888-8A23-F6A8DFF1D53D}"/>
            </a:ext>
          </a:extLst>
        </xdr:cNvPr>
        <xdr:cNvSpPr/>
      </xdr:nvSpPr>
      <xdr:spPr>
        <a:xfrm>
          <a:off x="72961500" y="4885765"/>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25</xdr:row>
      <xdr:rowOff>0</xdr:rowOff>
    </xdr:from>
    <xdr:to>
      <xdr:col>84</xdr:col>
      <xdr:colOff>0</xdr:colOff>
      <xdr:row>27</xdr:row>
      <xdr:rowOff>0</xdr:rowOff>
    </xdr:to>
    <xdr:sp macro="" textlink="">
      <xdr:nvSpPr>
        <xdr:cNvPr id="62" name="Rectangle 61">
          <a:extLst>
            <a:ext uri="{FF2B5EF4-FFF2-40B4-BE49-F238E27FC236}">
              <a16:creationId xmlns:a16="http://schemas.microsoft.com/office/drawing/2014/main" id="{14603DA6-922F-46EB-A97B-6DF83C57E5FD}"/>
            </a:ext>
          </a:extLst>
        </xdr:cNvPr>
        <xdr:cNvSpPr/>
      </xdr:nvSpPr>
      <xdr:spPr>
        <a:xfrm>
          <a:off x="72961500" y="5782235"/>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29</xdr:row>
      <xdr:rowOff>0</xdr:rowOff>
    </xdr:from>
    <xdr:to>
      <xdr:col>84</xdr:col>
      <xdr:colOff>0</xdr:colOff>
      <xdr:row>31</xdr:row>
      <xdr:rowOff>1</xdr:rowOff>
    </xdr:to>
    <xdr:sp macro="" textlink="">
      <xdr:nvSpPr>
        <xdr:cNvPr id="63" name="Rectangle 62">
          <a:extLst>
            <a:ext uri="{FF2B5EF4-FFF2-40B4-BE49-F238E27FC236}">
              <a16:creationId xmlns:a16="http://schemas.microsoft.com/office/drawing/2014/main" id="{3CBB053D-BA99-4155-A0BC-23E4E4BF2BC5}"/>
            </a:ext>
          </a:extLst>
        </xdr:cNvPr>
        <xdr:cNvSpPr/>
      </xdr:nvSpPr>
      <xdr:spPr>
        <a:xfrm>
          <a:off x="72961500" y="6678706"/>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33</xdr:row>
      <xdr:rowOff>0</xdr:rowOff>
    </xdr:from>
    <xdr:to>
      <xdr:col>84</xdr:col>
      <xdr:colOff>0</xdr:colOff>
      <xdr:row>35</xdr:row>
      <xdr:rowOff>0</xdr:rowOff>
    </xdr:to>
    <xdr:sp macro="" textlink="">
      <xdr:nvSpPr>
        <xdr:cNvPr id="64" name="Rectangle 63">
          <a:extLst>
            <a:ext uri="{FF2B5EF4-FFF2-40B4-BE49-F238E27FC236}">
              <a16:creationId xmlns:a16="http://schemas.microsoft.com/office/drawing/2014/main" id="{2CEAC58B-05F3-4AAB-A05A-0081D907B9FC}"/>
            </a:ext>
          </a:extLst>
        </xdr:cNvPr>
        <xdr:cNvSpPr/>
      </xdr:nvSpPr>
      <xdr:spPr>
        <a:xfrm>
          <a:off x="72961500" y="7575176"/>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87</xdr:col>
      <xdr:colOff>0</xdr:colOff>
      <xdr:row>7</xdr:row>
      <xdr:rowOff>0</xdr:rowOff>
    </xdr:from>
    <xdr:to>
      <xdr:col>90</xdr:col>
      <xdr:colOff>0</xdr:colOff>
      <xdr:row>9</xdr:row>
      <xdr:rowOff>1</xdr:rowOff>
    </xdr:to>
    <xdr:sp macro="" textlink="">
      <xdr:nvSpPr>
        <xdr:cNvPr id="65" name="Rectangle 64">
          <a:extLst>
            <a:ext uri="{FF2B5EF4-FFF2-40B4-BE49-F238E27FC236}">
              <a16:creationId xmlns:a16="http://schemas.microsoft.com/office/drawing/2014/main" id="{B8B037AB-14B4-44CF-A0AC-5D30A3103C8F}"/>
            </a:ext>
          </a:extLst>
        </xdr:cNvPr>
        <xdr:cNvSpPr/>
      </xdr:nvSpPr>
      <xdr:spPr>
        <a:xfrm>
          <a:off x="76928382" y="1748118"/>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87</xdr:col>
      <xdr:colOff>0</xdr:colOff>
      <xdr:row>15</xdr:row>
      <xdr:rowOff>0</xdr:rowOff>
    </xdr:from>
    <xdr:to>
      <xdr:col>90</xdr:col>
      <xdr:colOff>0</xdr:colOff>
      <xdr:row>17</xdr:row>
      <xdr:rowOff>1</xdr:rowOff>
    </xdr:to>
    <xdr:sp macro="" textlink="">
      <xdr:nvSpPr>
        <xdr:cNvPr id="66" name="Rectangle 65">
          <a:extLst>
            <a:ext uri="{FF2B5EF4-FFF2-40B4-BE49-F238E27FC236}">
              <a16:creationId xmlns:a16="http://schemas.microsoft.com/office/drawing/2014/main" id="{D776ECEB-36ED-4F61-AB1F-512695D9B6F7}"/>
            </a:ext>
          </a:extLst>
        </xdr:cNvPr>
        <xdr:cNvSpPr/>
      </xdr:nvSpPr>
      <xdr:spPr>
        <a:xfrm>
          <a:off x="76928382" y="3541059"/>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87</xdr:col>
      <xdr:colOff>0</xdr:colOff>
      <xdr:row>23</xdr:row>
      <xdr:rowOff>0</xdr:rowOff>
    </xdr:from>
    <xdr:to>
      <xdr:col>90</xdr:col>
      <xdr:colOff>0</xdr:colOff>
      <xdr:row>25</xdr:row>
      <xdr:rowOff>1</xdr:rowOff>
    </xdr:to>
    <xdr:sp macro="" textlink="">
      <xdr:nvSpPr>
        <xdr:cNvPr id="67" name="Rectangle 66">
          <a:extLst>
            <a:ext uri="{FF2B5EF4-FFF2-40B4-BE49-F238E27FC236}">
              <a16:creationId xmlns:a16="http://schemas.microsoft.com/office/drawing/2014/main" id="{E4AFF5E1-18CB-4A2C-921C-22EDAE841742}"/>
            </a:ext>
          </a:extLst>
        </xdr:cNvPr>
        <xdr:cNvSpPr/>
      </xdr:nvSpPr>
      <xdr:spPr>
        <a:xfrm>
          <a:off x="76928382" y="5334000"/>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87</xdr:col>
      <xdr:colOff>0</xdr:colOff>
      <xdr:row>31</xdr:row>
      <xdr:rowOff>0</xdr:rowOff>
    </xdr:from>
    <xdr:to>
      <xdr:col>90</xdr:col>
      <xdr:colOff>0</xdr:colOff>
      <xdr:row>33</xdr:row>
      <xdr:rowOff>1</xdr:rowOff>
    </xdr:to>
    <xdr:sp macro="" textlink="">
      <xdr:nvSpPr>
        <xdr:cNvPr id="68" name="Rectangle 67">
          <a:extLst>
            <a:ext uri="{FF2B5EF4-FFF2-40B4-BE49-F238E27FC236}">
              <a16:creationId xmlns:a16="http://schemas.microsoft.com/office/drawing/2014/main" id="{84C1D037-28A0-440A-A717-633B5BED513D}"/>
            </a:ext>
          </a:extLst>
        </xdr:cNvPr>
        <xdr:cNvSpPr/>
      </xdr:nvSpPr>
      <xdr:spPr>
        <a:xfrm>
          <a:off x="76928382" y="7126941"/>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93</xdr:col>
      <xdr:colOff>0</xdr:colOff>
      <xdr:row>11</xdr:row>
      <xdr:rowOff>0</xdr:rowOff>
    </xdr:from>
    <xdr:to>
      <xdr:col>96</xdr:col>
      <xdr:colOff>0</xdr:colOff>
      <xdr:row>13</xdr:row>
      <xdr:rowOff>0</xdr:rowOff>
    </xdr:to>
    <xdr:sp macro="" textlink="">
      <xdr:nvSpPr>
        <xdr:cNvPr id="69" name="Rectangle 68">
          <a:extLst>
            <a:ext uri="{FF2B5EF4-FFF2-40B4-BE49-F238E27FC236}">
              <a16:creationId xmlns:a16="http://schemas.microsoft.com/office/drawing/2014/main" id="{15BFFB35-DCE3-45F3-9187-D21D8F9C4338}"/>
            </a:ext>
          </a:extLst>
        </xdr:cNvPr>
        <xdr:cNvSpPr/>
      </xdr:nvSpPr>
      <xdr:spPr>
        <a:xfrm>
          <a:off x="80895265" y="2644588"/>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93</xdr:col>
      <xdr:colOff>0</xdr:colOff>
      <xdr:row>27</xdr:row>
      <xdr:rowOff>0</xdr:rowOff>
    </xdr:from>
    <xdr:to>
      <xdr:col>96</xdr:col>
      <xdr:colOff>0</xdr:colOff>
      <xdr:row>29</xdr:row>
      <xdr:rowOff>1</xdr:rowOff>
    </xdr:to>
    <xdr:sp macro="" textlink="">
      <xdr:nvSpPr>
        <xdr:cNvPr id="70" name="Rectangle 69">
          <a:extLst>
            <a:ext uri="{FF2B5EF4-FFF2-40B4-BE49-F238E27FC236}">
              <a16:creationId xmlns:a16="http://schemas.microsoft.com/office/drawing/2014/main" id="{49B69BCA-9C7E-424E-B4CE-796043588126}"/>
            </a:ext>
          </a:extLst>
        </xdr:cNvPr>
        <xdr:cNvSpPr/>
      </xdr:nvSpPr>
      <xdr:spPr>
        <a:xfrm>
          <a:off x="80895265" y="6230471"/>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99</xdr:col>
      <xdr:colOff>0</xdr:colOff>
      <xdr:row>19</xdr:row>
      <xdr:rowOff>0</xdr:rowOff>
    </xdr:from>
    <xdr:to>
      <xdr:col>102</xdr:col>
      <xdr:colOff>0</xdr:colOff>
      <xdr:row>21</xdr:row>
      <xdr:rowOff>0</xdr:rowOff>
    </xdr:to>
    <xdr:sp macro="" textlink="">
      <xdr:nvSpPr>
        <xdr:cNvPr id="71" name="Rectangle 70">
          <a:extLst>
            <a:ext uri="{FF2B5EF4-FFF2-40B4-BE49-F238E27FC236}">
              <a16:creationId xmlns:a16="http://schemas.microsoft.com/office/drawing/2014/main" id="{A323BADF-BC5A-4F07-A48C-9964F457DD9B}"/>
            </a:ext>
          </a:extLst>
        </xdr:cNvPr>
        <xdr:cNvSpPr/>
      </xdr:nvSpPr>
      <xdr:spPr>
        <a:xfrm>
          <a:off x="84862147" y="4437529"/>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80</xdr:col>
      <xdr:colOff>0</xdr:colOff>
      <xdr:row>1</xdr:row>
      <xdr:rowOff>0</xdr:rowOff>
    </xdr:from>
    <xdr:ext cx="2966357" cy="495708"/>
    <xdr:sp macro="" textlink="">
      <xdr:nvSpPr>
        <xdr:cNvPr id="76" name="Rectangle 75">
          <a:extLst>
            <a:ext uri="{FF2B5EF4-FFF2-40B4-BE49-F238E27FC236}">
              <a16:creationId xmlns:a16="http://schemas.microsoft.com/office/drawing/2014/main" id="{E1588B94-0BE6-48A1-85D2-95667BAC138C}"/>
            </a:ext>
          </a:extLst>
        </xdr:cNvPr>
        <xdr:cNvSpPr/>
      </xdr:nvSpPr>
      <xdr:spPr>
        <a:xfrm>
          <a:off x="285750" y="204107"/>
          <a:ext cx="2966357"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Round of 16</a:t>
          </a:r>
        </a:p>
      </xdr:txBody>
    </xdr:sp>
    <xdr:clientData/>
  </xdr:oneCellAnchor>
  <xdr:oneCellAnchor>
    <xdr:from>
      <xdr:col>86</xdr:col>
      <xdr:colOff>0</xdr:colOff>
      <xdr:row>1</xdr:row>
      <xdr:rowOff>0</xdr:rowOff>
    </xdr:from>
    <xdr:ext cx="2979964" cy="495708"/>
    <xdr:sp macro="" textlink="">
      <xdr:nvSpPr>
        <xdr:cNvPr id="77" name="Rectangle 76">
          <a:extLst>
            <a:ext uri="{FF2B5EF4-FFF2-40B4-BE49-F238E27FC236}">
              <a16:creationId xmlns:a16="http://schemas.microsoft.com/office/drawing/2014/main" id="{86D7A7C3-0D55-4F19-8538-9F16F463B23E}"/>
            </a:ext>
          </a:extLst>
        </xdr:cNvPr>
        <xdr:cNvSpPr/>
      </xdr:nvSpPr>
      <xdr:spPr>
        <a:xfrm>
          <a:off x="3864429" y="204107"/>
          <a:ext cx="2979964"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Quarter-Finals</a:t>
          </a:r>
        </a:p>
      </xdr:txBody>
    </xdr:sp>
    <xdr:clientData/>
  </xdr:oneCellAnchor>
  <xdr:oneCellAnchor>
    <xdr:from>
      <xdr:col>92</xdr:col>
      <xdr:colOff>0</xdr:colOff>
      <xdr:row>1</xdr:row>
      <xdr:rowOff>0</xdr:rowOff>
    </xdr:from>
    <xdr:ext cx="2952750" cy="495708"/>
    <xdr:sp macro="" textlink="">
      <xdr:nvSpPr>
        <xdr:cNvPr id="78" name="Rectangle 77">
          <a:extLst>
            <a:ext uri="{FF2B5EF4-FFF2-40B4-BE49-F238E27FC236}">
              <a16:creationId xmlns:a16="http://schemas.microsoft.com/office/drawing/2014/main" id="{D4042076-D72D-4ABE-ACE0-CADBE5F432AA}"/>
            </a:ext>
          </a:extLst>
        </xdr:cNvPr>
        <xdr:cNvSpPr/>
      </xdr:nvSpPr>
      <xdr:spPr>
        <a:xfrm>
          <a:off x="7443107" y="204107"/>
          <a:ext cx="2952750"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Semi-Finals</a:t>
          </a:r>
        </a:p>
      </xdr:txBody>
    </xdr:sp>
    <xdr:clientData/>
  </xdr:oneCellAnchor>
  <xdr:oneCellAnchor>
    <xdr:from>
      <xdr:col>98</xdr:col>
      <xdr:colOff>0</xdr:colOff>
      <xdr:row>1</xdr:row>
      <xdr:rowOff>0</xdr:rowOff>
    </xdr:from>
    <xdr:ext cx="2939143" cy="495708"/>
    <xdr:sp macro="" textlink="">
      <xdr:nvSpPr>
        <xdr:cNvPr id="79" name="Rectangle 78">
          <a:extLst>
            <a:ext uri="{FF2B5EF4-FFF2-40B4-BE49-F238E27FC236}">
              <a16:creationId xmlns:a16="http://schemas.microsoft.com/office/drawing/2014/main" id="{86656C1C-3BEB-442C-A112-396992ED9A67}"/>
            </a:ext>
          </a:extLst>
        </xdr:cNvPr>
        <xdr:cNvSpPr/>
      </xdr:nvSpPr>
      <xdr:spPr>
        <a:xfrm>
          <a:off x="11021786" y="204107"/>
          <a:ext cx="2939143"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Final</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F6767A-5916-4A60-BD67-EB03AE1B5E7D}" name="tblGroupMatch" displayName="tblGroupMatch" ref="B4:AD40" totalsRowShown="0" headerRowDxfId="68" dataDxfId="69">
  <autoFilter ref="B4:AD40" xr:uid="{0EF6767A-5916-4A60-BD67-EB03AE1B5E7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43938C0E-6D1F-446B-BFF6-63DA07819F98}" name="Euro_Match_Number" dataDxfId="83"/>
    <tableColumn id="2" xr3:uid="{E3290BAD-A305-4129-B6A1-7AE09B8861A0}" name="Group_Code" dataDxfId="82">
      <calculatedColumnFormula>INDEX(lkupGroupGame[],MATCH(tblGroupMatch[[#This Row],[Euro_Match_Number]],lkupGroupGame[Euro_Match_Number],0),MATCH(tblGroupMatch[[#Headers],[Group_Code]],lkupGroupGame[#Headers],0))</calculatedColumnFormula>
    </tableColumn>
    <tableColumn id="3" xr3:uid="{1CEA6DB1-5DBA-486D-BC50-14BCAF9DF438}" name="Home_Group_Number" dataDxfId="81">
      <calculatedColumnFormula>INDEX(lkupGroupGame[],MATCH(tblGroupMatch[[#This Row],[Euro_Match_Number]],lkupGroupGame[Euro_Match_Number],0),MATCH(tblGroupMatch[[#Headers],[Home_Group_Number]],lkupGroupGame[#Headers],0))</calculatedColumnFormula>
    </tableColumn>
    <tableColumn id="4" xr3:uid="{DBA52519-47A6-45DA-8BEE-BCA5E831FD75}" name="Away_Group_Number" dataDxfId="80">
      <calculatedColumnFormula>INDEX(lkupGroupGame[],MATCH(tblGroupMatch[[#This Row],[Euro_Match_Number]],lkupGroupGame[Euro_Match_Number],0),MATCH(tblGroupMatch[[#Headers],[Away_Group_Number]],lkupGroupGame[#Headers],0))</calculatedColumnFormula>
    </tableColumn>
    <tableColumn id="25" xr3:uid="{49F15003-6F96-4809-A13B-490503D43640}" name="Home_Team_Number" dataDxfId="79">
      <calculatedColumnFormula>INDEX(lkupTeam[],MATCH(tblGroupMatch[[#This Row],[Group_Code]]&amp;tblGroupMatch[[#This Row],[Home_Group_Number]],lkupTeam[Team_Code],0),MATCH("Team_Number",lkupTeam[#Headers],0))</calculatedColumnFormula>
    </tableColumn>
    <tableColumn id="26" xr3:uid="{CA51BC36-0F23-413D-BD16-6F96EFFAB7FB}" name="Away_Team_Number" dataDxfId="78">
      <calculatedColumnFormula>INDEX(lkupTeam[],MATCH(tblGroupMatch[[#This Row],[Group_Code]]&amp;tblGroupMatch[[#This Row],[Away_Group_Number]],lkupTeam[Team_Code],0),MATCH("Team_Number",lkupTeam[#Headers],0))</calculatedColumnFormula>
    </tableColumn>
    <tableColumn id="28" xr3:uid="{962DEDA7-56F3-4209-9A83-405D8F361E56}" name="Match_Code" dataDxfId="77">
      <calculatedColumnFormula>tblGroupMatch[[#This Row],[Group_Code]]&amp;MIN(tblGroupMatch[[#This Row],[Home_Group_Number]:[Away_Group_Number]])&amp;MAX(tblGroupMatch[[#This Row],[Home_Group_Number]:[Away_Group_Number]])</calculatedColumnFormula>
    </tableColumn>
    <tableColumn id="5" xr3:uid="{3471C96F-0A28-4624-85E8-1E0B38C89E5D}" name="Match_Date" dataDxfId="76">
      <calculatedColumnFormula>INDEX(lkupGroupGame[],MATCH(tblGroupMatch[[#This Row],[Euro_Match_Number]],lkupGroupGame[Euro_Match_Number],0),MATCH(tblGroupMatch[[#Headers],[Match_Date]],lkupGroupGame[#Headers],0))</calculatedColumnFormula>
    </tableColumn>
    <tableColumn id="6" xr3:uid="{24B413EE-DDD7-43AA-A509-F95B8A18DACF}" name="Match_Time_UK" dataDxfId="75">
      <calculatedColumnFormula>INDEX(lkupGroupGame[],MATCH(tblGroupMatch[[#This Row],[Euro_Match_Number]],lkupGroupGame[Euro_Match_Number],0),MATCH(tblGroupMatch[[#Headers],[Match_Time_UK]],lkupGroupGame[#Headers],0))</calculatedColumnFormula>
    </tableColumn>
    <tableColumn id="7" xr3:uid="{D5801698-0A50-44D7-A63A-CA205B35D2F9}" name="Venue_Number" dataDxfId="74">
      <calculatedColumnFormula>INDEX(lkupGroupGame[],MATCH(tblGroupMatch[[#This Row],[Euro_Match_Number]],lkupGroupGame[Euro_Match_Number],0),MATCH(tblGroupMatch[[#Headers],[Venue_Number]],lkupGroupGame[#Headers],0))</calculatedColumnFormula>
    </tableColumn>
    <tableColumn id="31" xr3:uid="{59C68847-AD95-4D04-A027-3B9EEBF39E07}" name="TV_Station" dataDxfId="73">
      <calculatedColumnFormula>INDEX(lkupGroupGame[],MATCH(tblGroupMatch[[#This Row],[Euro_Match_Number]],lkupGroupGame[Euro_Match_Number],0),MATCH(tblGroupMatch[[#Headers],[TV_Station]],lkupGroupGame[#Headers],0))</calculatedColumnFormula>
    </tableColumn>
    <tableColumn id="23" xr3:uid="{243C2FFC-D78A-42B1-A8D8-C7C9B55095BB}" name="Is_Complete" dataDxfId="72">
      <calculatedColumnFormula>AND(LEN(tblGroupMatch[[#This Row],[Team A Goals]])&gt;0,LEN(tblGroupMatch[[#This Row],[Team B Goals]])&gt;0,LEN(tblGroupMatch[[#This Row],[Team A YCs]])&gt;0,LEN(tblGroupMatch[[#This Row],[Team A RCs]])&gt;0,LEN(tblGroupMatch[[#This Row],[Team B Ycs]])&gt;0,LEN(tblGroupMatch[[#This Row],[Team B RCs]])&gt;0)</calculatedColumnFormula>
    </tableColumn>
    <tableColumn id="24" xr3:uid="{7152C6F8-3BD7-47A2-BD5D-C3A9A9ECF55B}" name="Is_Win" dataDxfId="71">
      <calculatedColumnFormula>AND(tblGroupMatch[[#This Row],[Is_Complete]],OR(tblGroupMatch[[#This Row],[Team A Goals]]&gt;tblGroupMatch[[#This Row],[Team B Goals]],tblGroupMatch[[#This Row],[Team B Goals]]&gt;tblGroupMatch[[#This Row],[Team A Goals]]))</calculatedColumnFormula>
    </tableColumn>
    <tableColumn id="22" xr3:uid="{0689D4FC-EA3E-4E32-830D-B2C299F77861}" name="Home_Points" dataDxfId="70">
      <calculatedColumnFormula>IF(tblGroupMatch[[#This Row],[Is_Complete]],IF(NOT(tblGroupMatch[[#This Row],[Is_Win]]),1,IF(tblGroupMatch[[#This Row],[Team A Goals]]&gt;tblGroupMatch[[#This Row],[Team B Goals]],3,0)),"")</calculatedColumnFormula>
    </tableColumn>
    <tableColumn id="21" xr3:uid="{0EB3EA9F-D7DD-4C2C-84FE-51DD92433E4D}" name="Away_Points" dataDxfId="67">
      <calculatedColumnFormula>IF(tblGroupMatch[[#This Row],[Is_Complete]],IF(NOT(tblGroupMatch[[#This Row],[Is_Win]]),1,IF(tblGroupMatch[[#This Row],[Home_Points]]=0,3,0)),"")</calculatedColumnFormula>
    </tableColumn>
    <tableColumn id="8" xr3:uid="{9E9333A6-65BE-475B-8902-CFFAEB476E91}" name="Match Number" dataDxfId="66">
      <calculatedColumnFormula>tblGroupMatch[[#This Row],[Euro_Match_Number]]</calculatedColumnFormula>
    </tableColumn>
    <tableColumn id="30" xr3:uid="{82B98C24-2618-4392-AA9D-D4CE6CB51B1A}" name="Group" dataDxfId="65">
      <calculatedColumnFormula>tblGroupMatch[[#This Row],[Group_Code]]</calculatedColumnFormula>
    </tableColumn>
    <tableColumn id="9" xr3:uid="{A272F0A9-EA61-4D10-A932-090400DBA95D}" name="Date &amp; Time" dataDxfId="64">
      <calculatedColumnFormula>SUM(tblGroupMatch[[#This Row],[Match_Date]],tblGroupMatch[[#This Row],[Match_Time_UK]])</calculatedColumnFormula>
    </tableColumn>
    <tableColumn id="10" xr3:uid="{00AE44FE-2DF9-4245-BFA1-0A1895752958}" name="Venue" dataDxfId="63">
      <calculatedColumnFormula>INDEX(lkupVenue[],MATCH(tblGroupMatch[[#This Row],[Venue_Number]],lkupVenue[Venue_Number],0),MATCH("Venue_Short",lkupVenue[#Headers],0))</calculatedColumnFormula>
    </tableColumn>
    <tableColumn id="11" xr3:uid="{7ECBEA8B-F7A5-4AD6-8F66-1976C2F5173C}" name="Team A Name" dataDxfId="62">
      <calculatedColumnFormula>INDEX(lkupTeam[],MATCH(tblGroupMatch[[#This Row],[Home_Team_Number]],lkupTeam[Team_Number],0),MATCH("Team",lkupTeam[#Headers],0))</calculatedColumnFormula>
    </tableColumn>
    <tableColumn id="12" xr3:uid="{E10E70CF-C825-448D-9614-991269641241}" name="Team A Goals" dataDxfId="61"/>
    <tableColumn id="13" xr3:uid="{BFD4C9AE-6BAB-4DFA-90E9-2C8B5A6F7A5C}" name="Team A YCs" dataDxfId="60"/>
    <tableColumn id="14" xr3:uid="{28A33A09-775D-411A-BC97-07AB55757F71}" name="Team A RCs" dataDxfId="59"/>
    <tableColumn id="15" xr3:uid="{B1518CDE-BFF2-4DB4-865D-3374E2B1B312}" name="Team A Penalties" dataDxfId="58"/>
    <tableColumn id="16" xr3:uid="{521804AC-CDDD-46D0-AA93-081E50FBAEA5}" name="Team B Name" dataDxfId="57">
      <calculatedColumnFormula>INDEX(lkupTeam[],MATCH(tblGroupMatch[[#This Row],[Away_Team_Number]],lkupTeam[Team_Number],0),MATCH("Team",lkupTeam[#Headers],0))</calculatedColumnFormula>
    </tableColumn>
    <tableColumn id="17" xr3:uid="{46A406C5-6900-44C0-8FFF-37A95C9BB795}" name="Team B Goals" dataDxfId="56"/>
    <tableColumn id="18" xr3:uid="{A6A1C0B6-1A13-4EA0-9593-DE7AA7864086}" name="Team B Ycs" dataDxfId="55"/>
    <tableColumn id="19" xr3:uid="{07457389-9054-4BD0-AAE5-331FE4115738}" name="Team B RCs" dataDxfId="54"/>
    <tableColumn id="20" xr3:uid="{05E6945B-41CA-493C-BAFD-52898F721B86}" name="Team B Penalties" dataDxfId="5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D275F637-2CD2-422A-AE75-24ECCC870F6F}" name="tblRound16" displayName="tblRound16" ref="B5:AK13" totalsRowShown="0" headerRowDxfId="52" dataDxfId="208">
  <autoFilter ref="B5:AK13" xr:uid="{D275F637-2CD2-422A-AE75-24ECCC870F6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sortState xmlns:xlrd2="http://schemas.microsoft.com/office/spreadsheetml/2017/richdata2" ref="B6:AK13">
    <sortCondition ref="P6:P13"/>
    <sortCondition ref="Q6:Q13"/>
  </sortState>
  <tableColumns count="36">
    <tableColumn id="1" xr3:uid="{7709A9D2-DFF4-41D4-9E55-D509668F0AF1}" name="Euro_Match_Number" dataDxfId="231"/>
    <tableColumn id="2" xr3:uid="{EA90C72E-5D3B-4E96-A2D4-CC355BEC6FCF}" name="Table_Rank_Code_1" dataDxfId="230"/>
    <tableColumn id="3" xr3:uid="{858F7999-EF0B-434A-BD75-022C8E6D092C}" name="Is_Third_Place" dataDxfId="229"/>
    <tableColumn id="4" xr3:uid="{F0A86DC6-7BB0-4868-B398-CECB3CA8352C}" name="Table_Rank_Code_2" dataDxfId="228"/>
    <tableColumn id="5" xr3:uid="{34E98804-A9D2-485B-8CD0-9C0F42B94A19}" name="Third_Rank_Code" dataDxfId="227">
      <calculatedColumnFormula>IF(tblRound16[[#This Row],[Is_Third_Place]],INDEX(tblThirdPlaceSequence[],MATCH(TRUE,tblThirdPlaceSequence[Is_Sequence],0),MATCH(tblRound16[[#This Row],[Table_Rank_Code_1]],tblThirdPlaceSequence[#Headers],0)),"")</calculatedColumnFormula>
    </tableColumn>
    <tableColumn id="37" xr3:uid="{BC7FFEB7-02BB-4F4B-83D0-DCCDB346ED31}" name="Third_Possibilities" dataDxfId="226"/>
    <tableColumn id="35" xr3:uid="{385E83F5-D2DB-48C3-BD27-5E19D479D30C}" name="Is_Group_Complete_1" dataDxfId="225">
      <calculatedColumnFormula>SUM(INDIRECT("tblGroup"&amp;LEFT(tblRound16[[#This Row],[Table_Rank_Code_1]],1)&amp;"[Table_Played]"))=12</calculatedColumnFormula>
    </tableColumn>
    <tableColumn id="36" xr3:uid="{1813A922-BC76-45C7-B01A-037C3DD5127F}" name="Is_Group_Complete_2" dataDxfId="224">
      <calculatedColumnFormula>IF(tblRound16[[#This Row],[Is_Third_Place]],tblGroupThirdPlace[[#Totals],[Table_Played]]=18,SUM(INDIRECT("tblGroup"&amp;LEFT(tblRound16[[#This Row],[Table_Rank_Code_2]],1)&amp;"[Table_Played]"))=12)</calculatedColumnFormula>
    </tableColumn>
    <tableColumn id="33" xr3:uid="{176ED223-6422-4487-A8D2-97C78EDAAF41}" name="Team_1_Group_Name" dataDxfId="223">
      <calculatedColumnFormula>_xlfn.TEXTJOIN(" ",TRUE,IF(RIGHT(tblRound16[[#This Row],[Table_Rank_Code_1]],1)="1","Winner",IF(RIGHT(tblRound16[[#This Row],[Table_Rank_Code_1]],1)="2","Runner-Up","3rd")),"Group",LEFT(tblRound16[[#This Row],[Table_Rank_Code_1]],1))</calculatedColumnFormula>
    </tableColumn>
    <tableColumn id="34" xr3:uid="{C144F938-5105-46ED-9CE7-D6925EA73D07}" name="Team_2_Group_Name" dataDxfId="222">
      <calculatedColumnFormula>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calculatedColumnFormula>
    </tableColumn>
    <tableColumn id="6" xr3:uid="{1527DEA4-01B4-4674-B476-DC56B9B0483A}" name="Team_1_Number" dataDxfId="221">
      <calculatedColumnFormula>INDEX(tblGroupTotals[],MATCH(tblRound16[[#This Row],[Table_Rank_Code_1]],tblGroupTotals[Table_Rank_Code],0),MATCH("Team_Number",tblGroupTotals[#Headers],0))</calculatedColumnFormula>
    </tableColumn>
    <tableColumn id="7" xr3:uid="{D1F4BDAC-E135-4A64-A30D-7A675C0D57AF}" name="Team_2_Number" dataDxfId="220">
      <calculatedColumnFormula>INDEX(tblGroupTotals[],MATCH(IF(tblRound16[[#This Row],[Is_Third_Place]],tblRound16[[#This Row],[Third_Rank_Code]],tblRound16[[#This Row],[Table_Rank_Code_2]]),tblGroupTotals[Table_Rank_Code],0),MATCH("Team_Number",tblGroupTotals[#Headers],0))</calculatedColumnFormula>
    </tableColumn>
    <tableColumn id="23" xr3:uid="{E4891ECE-AA22-44E0-B51C-6C9766ECAD78}" name="Venue_Number" dataDxfId="219">
      <calculatedColumnFormula>INDEX(lkupRoundGame[],MATCH(tblRound16[[#This Row],[Euro_Match_Number]],lkupRoundGame[Euro_Match_Number],0),MATCH("Venue_Number",lkupRoundGame[#Headers],0))</calculatedColumnFormula>
    </tableColumn>
    <tableColumn id="25" xr3:uid="{B7312B32-AC9E-423E-B6F8-F18CAD8A8CEB}" name="Round_Name" dataDxfId="218">
      <calculatedColumnFormula>INDEX(lkupRoundGame[],MATCH(tblRound16[[#This Row],[Euro_Match_Number]],lkupRoundGame[Euro_Match_Number],0),MATCH("Round_Name",lkupRoundGame[#Headers],0))</calculatedColumnFormula>
    </tableColumn>
    <tableColumn id="28" xr3:uid="{0566A88F-1DDE-467D-9B27-E327135062BA}" name="Match_Date" dataDxfId="217">
      <calculatedColumnFormula>INDEX(lkupRoundGame[],MATCH(tblRound16[[#This Row],[Euro_Match_Number]],lkupRoundGame[Euro_Match_Number],0),MATCH("Match_Date",lkupRoundGame[#Headers],0))</calculatedColumnFormula>
    </tableColumn>
    <tableColumn id="27" xr3:uid="{A40E442A-0D87-48ED-B7D3-139131354B05}" name="Match_Time_UK" dataDxfId="216">
      <calculatedColumnFormula>INDEX(lkupRoundGame[],MATCH(tblRound16[[#This Row],[Euro_Match_Number]],lkupRoundGame[Euro_Match_Number],0),MATCH("Match_Time_UK",lkupRoundGame[#Headers],0))</calculatedColumnFormula>
    </tableColumn>
    <tableColumn id="24" xr3:uid="{AF0B5613-EE39-474E-83E3-CF041C1E7CFF}" name="TV_Station" dataDxfId="215">
      <calculatedColumnFormula>""&amp;INDEX(lkupRoundGame[],MATCH(tblRound16[[#This Row],[Euro_Match_Number]],lkupRoundGame[Euro_Match_Number],0),MATCH("TV_Station",lkupRoundGame[#Headers],0))</calculatedColumnFormula>
    </tableColumn>
    <tableColumn id="19" xr3:uid="{F19F6AAA-E64F-490F-B1A1-A32B11A680D2}" name="Is_Result_Goals" dataDxfId="214">
      <calculatedColumnFormula>AND(LEN(tblRound16[[#This Row],[Team A Goals]])&gt;0,LEN(tblRound16[[#This Row],[Team B Goals]])&gt;0,tblRound16[[#This Row],[Team A Goals]]&lt;&gt;tblRound16[[#This Row],[Team B Goals]])</calculatedColumnFormula>
    </tableColumn>
    <tableColumn id="18" xr3:uid="{F56D8298-2EED-43FB-9F5B-ADCBE2CAF8D8}" name="Is_Result_AET" dataDxfId="213">
      <calculatedColumnFormula>AND(LEN(tblRound16[[#This Row],[Team A AET]])&gt;0,LEN(tblRound16[[#This Row],[Team B AET]])&gt;0,tblRound16[[#This Row],[Team A AET]]&lt;&gt;tblRound16[[#This Row],[Team B AET]])</calculatedColumnFormula>
    </tableColumn>
    <tableColumn id="17" xr3:uid="{E032BFAE-292A-4EED-8F2C-768087005E20}" name="Is_Result_Penalties" dataDxfId="212">
      <calculatedColumnFormula>AND(LEN(tblRound16[[#This Row],[Team A Penalties]])&gt;0,LEN(tblRound16[[#This Row],[Team B Penalties]])&gt;0)</calculatedColumnFormula>
    </tableColumn>
    <tableColumn id="16" xr3:uid="{67F4BBF3-3BD4-4307-8E93-A144D1B3C83A}" name="Is_Complete" dataDxfId="211">
      <calculatedColumnFormula>AND(OR(tblRound16[[#This Row],[Is_Result_Goals]:[Is_Result_Penalties]]),tblRound16[[#This Row],[Is_Group_Complete_1]],tblRound16[[#This Row],[Is_Group_Complete_2]])</calculatedColumnFormula>
    </tableColumn>
    <tableColumn id="21" xr3:uid="{C85FCBFE-5566-4F22-BAA1-40A0A74CF3BF}" name="Team_1_Value" dataDxfId="210">
      <calculatedColumnFormula>IF(tblRound16[[#This Row],[Is_Result_Goals]],tblRound16[[#This Row],[Team A Goals]],IF(tblRound16[[#This Row],[Is_Result_AET]],tblRound16[[#This Row],[Team A AET]],IF(tblRound16[[#This Row],[Is_Result_Penalties]],tblRound16[[#This Row],[Team A Penalties]],"")))</calculatedColumnFormula>
    </tableColumn>
    <tableColumn id="22" xr3:uid="{803B2DB2-66F2-4713-9BAB-4C87D81E0491}" name="Team_2_Value" dataDxfId="209">
      <calculatedColumnFormula>IF(tblRound16[[#This Row],[Is_Result_Goals]],tblRound16[[#This Row],[Team B Goals]],IF(tblRound16[[#This Row],[Is_Result_AET]],tblRound16[[#This Row],[Team B AET]],IF(tblRound16[[#This Row],[Is_Result_Penalties]],tblRound16[[#This Row],[Team B Penalties]],"")))</calculatedColumnFormula>
    </tableColumn>
    <tableColumn id="20" xr3:uid="{B60F319B-EFEC-4DCC-B401-2BC89FE9CF79}" name="Team_Number_Winner" dataDxfId="135">
      <calculatedColumnFormula>IF(tblRound16[[#This Row],[Is_Complete]],IF(tblRound16[[#This Row],[Team_1_Value]]&gt;tblRound16[[#This Row],[Team_2_Value]],tblRound16[[#This Row],[Team_1_Number]],tblRound16[[#This Row],[Team_2_Number]]),"")</calculatedColumnFormula>
    </tableColumn>
    <tableColumn id="29" xr3:uid="{20669AFB-CF1B-41DA-9024-CDC4D18A4079}" name="Match Number" dataDxfId="131">
      <calculatedColumnFormula>tblRound16[[#This Row],[Euro_Match_Number]]</calculatedColumnFormula>
    </tableColumn>
    <tableColumn id="30" xr3:uid="{2843A028-9DCC-487D-9AE5-0993B26083CC}" name="Round" dataDxfId="130">
      <calculatedColumnFormula>tblRound16[[#This Row],[Round_Name]]</calculatedColumnFormula>
    </tableColumn>
    <tableColumn id="31" xr3:uid="{522C853D-5636-420D-A328-DE1CF6D87F66}" name="Date &amp; Time" dataDxfId="129">
      <calculatedColumnFormula>TEXT(SUM(tblRound16[[#This Row],[Match_Date]],tblRound16[[#This Row],[Match_Time_UK]]),"ddd dd mmm hh:mm")&amp;IF(LEN(tblRound16[[#This Row],[TV_Station]])&gt;0," ("&amp;tblRound16[[#This Row],[TV_Station]]&amp;")","")</calculatedColumnFormula>
    </tableColumn>
    <tableColumn id="32" xr3:uid="{B465DBAA-64B8-4566-A07A-1093D48D44C1}" name="Venue" dataDxfId="128">
      <calculatedColumnFormula>INDEX(lkupVenue[],MATCH(tblRound16[[#This Row],[Venue_Number]],lkupVenue[Venue_Number],0),MATCH("Venue_Short",lkupVenue[#Headers],0))</calculatedColumnFormula>
    </tableColumn>
    <tableColumn id="8" xr3:uid="{1D3C54A6-9432-4A37-B24E-FB7AB09E0B72}" name="Team A Name" dataDxfId="127">
      <calculatedColumnFormula>IF(tblRound16[[#This Row],[Is_Group_Complete_1]],INDEX(lkupTeam[],MATCH(tblRound16[[#This Row],[Team_1_Number]],lkupTeam[Team_Number],0),MATCH("Team",lkupTeam[#Headers],0)),tblRound16[[#This Row],[Team_1_Group_Name]])</calculatedColumnFormula>
    </tableColumn>
    <tableColumn id="10" xr3:uid="{3041516E-D09D-4A87-B7BE-9C98DD1577CA}" name="Team A Goals" dataDxfId="126"/>
    <tableColumn id="11" xr3:uid="{CC249745-9913-4E66-9685-1E966E3764AA}" name="Team A AET" dataDxfId="125"/>
    <tableColumn id="12" xr3:uid="{2F8FEF95-B925-4BE9-9EC1-2D27F5720F62}" name="Team A Penalties" dataDxfId="124"/>
    <tableColumn id="9" xr3:uid="{0CB6C0A3-8FC8-4C8A-A36B-82C75E4EDDBA}" name="Team B Name" dataDxfId="123">
      <calculatedColumnFormula>IF(tblRound16[[#This Row],[Is_Group_Complete_2]],INDEX(lkupTeam[],MATCH(tblRound16[[#This Row],[Team_2_Number]],lkupTeam[Team_Number],0),MATCH("Team",lkupTeam[#Headers],0)),tblRound16[[#This Row],[Team_2_Group_Name]])</calculatedColumnFormula>
    </tableColumn>
    <tableColumn id="13" xr3:uid="{3588446F-D4EE-411E-AC5D-CEAE46CC536F}" name="Team B Goals" dataDxfId="122"/>
    <tableColumn id="14" xr3:uid="{77E3C702-9E68-4240-9426-BDACF153392C}" name="Team B AET" dataDxfId="121"/>
    <tableColumn id="15" xr3:uid="{C16BCB87-0498-4DA2-8892-43A3936EFDF8}" name="Team B Penalties" dataDxfId="12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2FFAA806-D8FF-43C4-8270-CB0DE9F80175}" name="tblRound8" displayName="tblRound8" ref="B16:AK20" totalsRowShown="0" headerRowDxfId="51" dataDxfId="184">
  <autoFilter ref="B16:AK20" xr:uid="{2FFAA806-D8FF-43C4-8270-CB0DE9F8017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057BA888-B559-45A4-91DF-9AE1D5AF0D0C}" name="Euro_Match_Number" dataDxfId="207"/>
    <tableColumn id="2" xr3:uid="{06B1C279-362A-4C26-8852-691A3DF869A1}" name="KO_Match_Number_1" dataDxfId="206"/>
    <tableColumn id="3" xr3:uid="{C1D7D906-CDD2-466F-816D-C73EE3B7BB0A}" name="Spare 1" dataDxfId="205"/>
    <tableColumn id="4" xr3:uid="{A9722C68-4674-4C22-A930-FB83A23F9F25}" name="KO_Match_Number_2" dataDxfId="204"/>
    <tableColumn id="5" xr3:uid="{1D9F6CBA-BF0D-44ED-B4DA-E7889AC66084}" name="Spare 2" dataDxfId="203"/>
    <tableColumn id="36" xr3:uid="{98ED1EDE-E6F4-484E-90D0-254C2FE116E0}" name="Spare 24" dataDxfId="202"/>
    <tableColumn id="34" xr3:uid="{36AF3346-88B8-412B-96A9-79C0B321A644}" name="Is_Match_Complete_1" dataDxfId="201">
      <calculatedColumnFormula>COUNTIFS(tblRound16[Euro_Match_Number],tblRound8[[#This Row],[KO_Match_Number_1]],tblRound16[Is_Complete],TRUE)&gt;0</calculatedColumnFormula>
    </tableColumn>
    <tableColumn id="35" xr3:uid="{E27F095E-1EC1-4BC7-8A4A-E8E090F09B65}" name="Is_Match_Complete_2" dataDxfId="200">
      <calculatedColumnFormula>COUNTIFS(tblRound16[Euro_Match_Number],tblRound8[[#This Row],[KO_Match_Number_2]],tblRound16[Is_Complete],TRUE)&gt;0</calculatedColumnFormula>
    </tableColumn>
    <tableColumn id="32" xr3:uid="{3DA13350-14A9-495E-884F-6F37AD47D3D9}" name="Team_1_Round_Name" dataDxfId="199">
      <calculatedColumnFormula>"Winner Match "&amp;tblRound8[[#This Row],[KO_Match_Number_1]]</calculatedColumnFormula>
    </tableColumn>
    <tableColumn id="33" xr3:uid="{3B31CBA2-AD90-49B5-91E0-75FCF8267C22}" name="Team_2_Round_Name" dataDxfId="198">
      <calculatedColumnFormula>"Winner Match "&amp;tblRound8[[#This Row],[KO_Match_Number_2]]</calculatedColumnFormula>
    </tableColumn>
    <tableColumn id="6" xr3:uid="{B395C9A8-82C2-4306-B84E-2BFCE59192ED}" name="Team_1_Number" dataDxfId="197">
      <calculatedColumnFormula>INDEX(tblRound16[],MATCH(tblRound8[[#This Row],[KO_Match_Number_1]],tblRound16[Euro_Match_Number],0),MATCH("Team_Number_Winner",tblRound16[#Headers],0))</calculatedColumnFormula>
    </tableColumn>
    <tableColumn id="7" xr3:uid="{6713A404-08B6-4CA0-AF64-ABD162062BBE}" name="Team_2_Number" dataDxfId="196">
      <calculatedColumnFormula>INDEX(tblRound16[],MATCH(tblRound8[[#This Row],[KO_Match_Number_2]],tblRound16[Euro_Match_Number],0),MATCH("Team_Number_Winner",tblRound16[#Headers],0))</calculatedColumnFormula>
    </tableColumn>
    <tableColumn id="23" xr3:uid="{211430DD-D9B1-420C-8763-6199299092C3}" name="Venue_Number" dataDxfId="195">
      <calculatedColumnFormula>INDEX(lkupRoundGame[],MATCH(tblRound8[[#This Row],[Euro_Match_Number]],lkupRoundGame[Euro_Match_Number],0),MATCH("Venue_Number",lkupRoundGame[#Headers],0))</calculatedColumnFormula>
    </tableColumn>
    <tableColumn id="24" xr3:uid="{66B87CDB-2BB7-45BD-9FC1-FD3D5E59B82F}" name="Round_Name" dataDxfId="194">
      <calculatedColumnFormula>INDEX(lkupRoundGame[],MATCH(tblRound8[[#This Row],[Euro_Match_Number]],lkupRoundGame[Euro_Match_Number],0),MATCH("Round_Name",lkupRoundGame[#Headers],0))</calculatedColumnFormula>
    </tableColumn>
    <tableColumn id="25" xr3:uid="{09EE62FB-C328-4A9C-8689-8223A706A115}" name="Match_Date" dataDxfId="193">
      <calculatedColumnFormula>INDEX(lkupRoundGame[],MATCH(tblRound8[[#This Row],[Euro_Match_Number]],lkupRoundGame[Euro_Match_Number],0),MATCH("Match_Date",lkupRoundGame[#Headers],0))</calculatedColumnFormula>
    </tableColumn>
    <tableColumn id="26" xr3:uid="{926C03C0-B5ED-48CB-9354-0E4AF0DE0A35}" name="Match_Time_UK" dataDxfId="192">
      <calculatedColumnFormula>INDEX(lkupRoundGame[],MATCH(tblRound8[[#This Row],[Euro_Match_Number]],lkupRoundGame[Euro_Match_Number],0),MATCH("Match_Time_UK",lkupRoundGame[#Headers],0))</calculatedColumnFormula>
    </tableColumn>
    <tableColumn id="27" xr3:uid="{A65A3937-4DE4-4574-9768-DA3715AA90F6}" name="TV_Station" dataDxfId="191">
      <calculatedColumnFormula>""&amp;INDEX(lkupRoundGame[],MATCH(tblRound8[[#This Row],[Euro_Match_Number]],lkupRoundGame[Euro_Match_Number],0),MATCH("TV_Station",lkupRoundGame[#Headers],0))</calculatedColumnFormula>
    </tableColumn>
    <tableColumn id="8" xr3:uid="{78F8A3FE-80D5-46F1-A6F5-4BC990615154}" name="Is_Result_Goals" dataDxfId="190">
      <calculatedColumnFormula>AND(LEN(tblRound8[[#This Row],[Team A Goals]])&gt;0,LEN(tblRound8[[#This Row],[Team B Goals]])&gt;0,tblRound8[[#This Row],[Team A Goals]]&lt;&gt;tblRound8[[#This Row],[Team B Goals]])</calculatedColumnFormula>
    </tableColumn>
    <tableColumn id="9" xr3:uid="{A833042E-0BE3-4E95-9306-72118046412C}" name="Is_Result_AET" dataDxfId="189">
      <calculatedColumnFormula>AND(LEN(tblRound8[[#This Row],[Team A AET]])&gt;0,LEN(tblRound8[[#This Row],[Team B AET]])&gt;0,tblRound8[[#This Row],[Team A AET]]&lt;&gt;tblRound8[[#This Row],[Team B AET]])</calculatedColumnFormula>
    </tableColumn>
    <tableColumn id="10" xr3:uid="{803C1821-F66C-47B2-B750-9B972E75E886}" name="Is_Result_Penalties" dataDxfId="188">
      <calculatedColumnFormula>AND(LEN(tblRound8[[#This Row],[Team A Penalties]])&gt;0,LEN(tblRound8[[#This Row],[Team B Penalties]])&gt;0)</calculatedColumnFormula>
    </tableColumn>
    <tableColumn id="11" xr3:uid="{BFA1C57F-7829-458E-BA09-A98A7ACE72E8}" name="Is_Complete" dataDxfId="187">
      <calculatedColumnFormula>AND(OR(tblRound8[[#This Row],[Is_Result_Goals]:[Is_Result_Penalties]]),tblRound8[[#This Row],[Is_Match_Complete_1]],tblRound8[[#This Row],[Is_Match_Complete_2]])</calculatedColumnFormula>
    </tableColumn>
    <tableColumn id="12" xr3:uid="{CC19716F-1B42-4A6B-8A31-049B530F64CC}" name="Team_1_Value" dataDxfId="186">
      <calculatedColumnFormula>IF(tblRound8[[#This Row],[Is_Result_Goals]],tblRound8[[#This Row],[Team A Goals]],IF(tblRound8[[#This Row],[Is_Result_AET]],tblRound8[[#This Row],[Team A AET]],IF(tblRound8[[#This Row],[Is_Result_Penalties]],tblRound8[[#This Row],[Team A Penalties]],"")))</calculatedColumnFormula>
    </tableColumn>
    <tableColumn id="13" xr3:uid="{458733E1-6B26-4FA9-BA87-4A4CA32283FB}" name="Team_2_Value" dataDxfId="185">
      <calculatedColumnFormula>IF(tblRound8[[#This Row],[Is_Result_Goals]],tblRound8[[#This Row],[Team B Goals]],IF(tblRound8[[#This Row],[Is_Result_AET]],tblRound8[[#This Row],[Team B AET]],IF(tblRound8[[#This Row],[Is_Result_Penalties]],tblRound8[[#This Row],[Team B Penalties]],"")))</calculatedColumnFormula>
    </tableColumn>
    <tableColumn id="14" xr3:uid="{A9B2D87D-500E-4654-8201-39F0F378FEFD}" name="Team_Number_Winner" dataDxfId="134">
      <calculatedColumnFormula>IF(tblRound8[[#This Row],[Is_Complete]],IF(tblRound8[[#This Row],[Team_1_Value]]&gt;tblRound8[[#This Row],[Team_2_Value]],tblRound8[[#This Row],[Team_1_Number]],tblRound8[[#This Row],[Team_2_Number]]),"")</calculatedColumnFormula>
    </tableColumn>
    <tableColumn id="28" xr3:uid="{BDA62D25-C68D-4421-A86F-996BA7D8684F}" name="Match Number" dataDxfId="119">
      <calculatedColumnFormula>tblRound8[[#This Row],[Euro_Match_Number]]</calculatedColumnFormula>
    </tableColumn>
    <tableColumn id="29" xr3:uid="{B9E67A07-9EF4-4E34-B71D-972911922EF2}" name="Round" dataDxfId="118">
      <calculatedColumnFormula>tblRound8[[#This Row],[Round_Name]]</calculatedColumnFormula>
    </tableColumn>
    <tableColumn id="30" xr3:uid="{EAB55728-2CEE-4A3D-9F32-5666417620AD}" name="Date &amp; Time" dataDxfId="117">
      <calculatedColumnFormula>TEXT(SUM(tblRound8[[#This Row],[Match_Date]],tblRound8[[#This Row],[Match_Time_UK]]),"ddd dd mmm hh:mm")&amp;IF(LEN(tblRound8[[#This Row],[TV_Station]])&gt;0," ("&amp;tblRound8[[#This Row],[TV_Station]]&amp;")","")</calculatedColumnFormula>
    </tableColumn>
    <tableColumn id="31" xr3:uid="{CA52B118-51E3-49F1-885A-BE2A758A2AA6}" name="Venue" dataDxfId="116">
      <calculatedColumnFormula>INDEX(lkupVenue[],MATCH(tblRound8[[#This Row],[Venue_Number]],lkupVenue[Venue_Number],0),MATCH("Venue_Short",lkupVenue[#Headers],0))</calculatedColumnFormula>
    </tableColumn>
    <tableColumn id="15" xr3:uid="{6EBF104C-292F-4578-91DA-6CBFF51ED67F}" name="Team A Name" dataDxfId="115">
      <calculatedColumnFormula>IF(tblRound8[[#This Row],[Is_Match_Complete_1]],INDEX(lkupTeam[],MATCH(tblRound8[[#This Row],[Team_1_Number]],lkupTeam[Team_Number],0),MATCH("Team",lkupTeam[#Headers],0)),tblRound8[[#This Row],[Team_1_Round_Name]])</calculatedColumnFormula>
    </tableColumn>
    <tableColumn id="16" xr3:uid="{BA2EE3C2-5024-488E-8D12-084E763F7943}" name="Team A Goals" dataDxfId="114"/>
    <tableColumn id="17" xr3:uid="{2CAB5A94-DEF3-4417-9355-EC0F4756BD34}" name="Team A AET" dataDxfId="113"/>
    <tableColumn id="18" xr3:uid="{1A54CC18-FB36-442A-ADEC-0FC389BCE648}" name="Team A Penalties" dataDxfId="112"/>
    <tableColumn id="19" xr3:uid="{3062A1C3-705C-4D55-8BF9-FB06A7C1AD65}" name="Team B Name" dataDxfId="111">
      <calculatedColumnFormula>IF(tblRound8[[#This Row],[Is_Match_Complete_2]],INDEX(lkupTeam[],MATCH(tblRound8[[#This Row],[Team_2_Number]],lkupTeam[Team_Number],0),MATCH("Team",lkupTeam[#Headers],0)),tblRound8[[#This Row],[Team_2_Round_Name]])</calculatedColumnFormula>
    </tableColumn>
    <tableColumn id="20" xr3:uid="{2C6AA32B-34EE-419C-B145-F2335512821A}" name="Team B Goals" dataDxfId="110"/>
    <tableColumn id="21" xr3:uid="{C8DBF3D7-A87F-402E-A4CC-0FB8B74D2C3E}" name="Team B AET" dataDxfId="109"/>
    <tableColumn id="22" xr3:uid="{7F9A120D-12F0-4C7F-BDAE-F247C31442D5}" name="Team B Penalties" dataDxfId="10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FFD611B0-E1DC-4460-BB09-1D9C08285F04}" name="tblRound4" displayName="tblRound4" ref="B23:AK25" totalsRowShown="0" headerRowDxfId="50" dataDxfId="160">
  <autoFilter ref="B23:AK25" xr:uid="{FFD611B0-E1DC-4460-BB09-1D9C08285F0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AD04158B-1E7C-4ABB-8F37-8CC385A873E5}" name="Euro_Match_Number" dataDxfId="183"/>
    <tableColumn id="2" xr3:uid="{1438AB28-CEB3-4EE1-816B-AE5BCD913ABD}" name="KO_Match_Number_1" dataDxfId="182"/>
    <tableColumn id="3" xr3:uid="{8685CD39-13DE-4F72-A096-F4FCCF6A036A}" name="Spare 1" dataDxfId="181"/>
    <tableColumn id="4" xr3:uid="{C622C87A-F6BA-4FA6-B362-B1DBE340715B}" name="KO_Match_Number_2" dataDxfId="180"/>
    <tableColumn id="5" xr3:uid="{F240CDF8-30EC-43AE-835C-349819A0E371}" name="Spare 2" dataDxfId="179"/>
    <tableColumn id="36" xr3:uid="{83CC4234-97EC-47E1-A388-02FB2E37FA50}" name="Spare 24" dataDxfId="178"/>
    <tableColumn id="34" xr3:uid="{2408530C-8BD5-45E0-8A57-BAA58261987F}" name="Is_Match_Complete_1" dataDxfId="177">
      <calculatedColumnFormula>COUNTIFS(tblRound8[Euro_Match_Number],tblRound4[[#This Row],[KO_Match_Number_1]],tblRound8[Is_Complete],TRUE)&gt;0</calculatedColumnFormula>
    </tableColumn>
    <tableColumn id="35" xr3:uid="{49B5877E-5E0A-4450-84FF-756BEEA01E38}" name="Is_Match_Complete_2" dataDxfId="176">
      <calculatedColumnFormula>COUNTIFS(tblRound8[Euro_Match_Number],tblRound4[[#This Row],[KO_Match_Number_2]],tblRound8[Is_Complete],TRUE)&gt;0</calculatedColumnFormula>
    </tableColumn>
    <tableColumn id="32" xr3:uid="{5F33C618-7B48-49B8-B7AF-C53B7ADCE66D}" name="Team_1_Round_Name" dataDxfId="175">
      <calculatedColumnFormula>"Winner Match "&amp;tblRound4[[#This Row],[KO_Match_Number_1]]</calculatedColumnFormula>
    </tableColumn>
    <tableColumn id="33" xr3:uid="{04387AD3-8695-45CA-A62C-B8B30DEB3D90}" name="Team_2_Round_Name" dataDxfId="174">
      <calculatedColumnFormula>"Winner Match "&amp;tblRound4[[#This Row],[KO_Match_Number_2]]</calculatedColumnFormula>
    </tableColumn>
    <tableColumn id="6" xr3:uid="{4A4F67A2-A09A-4FA4-BC73-0054AD873827}" name="Team_1_Number" dataDxfId="173">
      <calculatedColumnFormula>INDEX(tblRound8[],MATCH(tblRound4[[#This Row],[KO_Match_Number_1]],tblRound8[Euro_Match_Number],0),MATCH("Team_Number_Winner",tblRound8[#Headers],0))</calculatedColumnFormula>
    </tableColumn>
    <tableColumn id="7" xr3:uid="{8BB711B8-5532-46C4-85FB-C7068B18E155}" name="Team_2_Number" dataDxfId="172">
      <calculatedColumnFormula>INDEX(tblRound8[],MATCH(tblRound4[[#This Row],[KO_Match_Number_2]],tblRound8[Euro_Match_Number],0),MATCH("Team_Number_Winner",tblRound8[#Headers],0))</calculatedColumnFormula>
    </tableColumn>
    <tableColumn id="23" xr3:uid="{832E0DFF-AE2A-4594-B7DE-45C4815EEC33}" name="Venue_Number" dataDxfId="171">
      <calculatedColumnFormula>INDEX(lkupRoundGame[],MATCH(tblRound4[[#This Row],[Euro_Match_Number]],lkupRoundGame[Euro_Match_Number],0),MATCH("Venue_Number",lkupRoundGame[#Headers],0))</calculatedColumnFormula>
    </tableColumn>
    <tableColumn id="24" xr3:uid="{282C7CF9-E784-49DB-A2A0-D9BE887AD234}" name="Round_Name" dataDxfId="170">
      <calculatedColumnFormula>INDEX(lkupRoundGame[],MATCH(tblRound4[[#This Row],[Euro_Match_Number]],lkupRoundGame[Euro_Match_Number],0),MATCH("Round_Name",lkupRoundGame[#Headers],0))</calculatedColumnFormula>
    </tableColumn>
    <tableColumn id="25" xr3:uid="{D311F62A-9328-4611-B79A-FD66C794E406}" name="Match_Date" dataDxfId="169">
      <calculatedColumnFormula>INDEX(lkupRoundGame[],MATCH(tblRound4[[#This Row],[Euro_Match_Number]],lkupRoundGame[Euro_Match_Number],0),MATCH("Match_Date",lkupRoundGame[#Headers],0))</calculatedColumnFormula>
    </tableColumn>
    <tableColumn id="26" xr3:uid="{240BEDE3-DA07-48BA-AC1E-14033C26DA44}" name="Match_Time_UK" dataDxfId="168">
      <calculatedColumnFormula>INDEX(lkupRoundGame[],MATCH(tblRound4[[#This Row],[Euro_Match_Number]],lkupRoundGame[Euro_Match_Number],0),MATCH("Match_Time_UK",lkupRoundGame[#Headers],0))</calculatedColumnFormula>
    </tableColumn>
    <tableColumn id="27" xr3:uid="{6E91BF82-0B4E-41BE-BE3E-222FC195DF58}" name="TV_Station" dataDxfId="167">
      <calculatedColumnFormula>""&amp;INDEX(lkupRoundGame[],MATCH(tblRound4[[#This Row],[Euro_Match_Number]],lkupRoundGame[Euro_Match_Number],0),MATCH("TV_Station",lkupRoundGame[#Headers],0))</calculatedColumnFormula>
    </tableColumn>
    <tableColumn id="8" xr3:uid="{AD241A08-0153-4D99-9528-70F54E47E932}" name="Is_Result_Goals" dataDxfId="166">
      <calculatedColumnFormula>AND(LEN(tblRound4[[#This Row],[Team A Goals]])&gt;0,LEN(tblRound4[[#This Row],[Team B Goals]])&gt;0,tblRound4[[#This Row],[Team A Goals]]&lt;&gt;tblRound4[[#This Row],[Team B Goals]])</calculatedColumnFormula>
    </tableColumn>
    <tableColumn id="9" xr3:uid="{A45F563B-450D-4B4E-8A3C-6279A0D09ED8}" name="Is_Result_AET" dataDxfId="165">
      <calculatedColumnFormula>AND(LEN(tblRound4[[#This Row],[Team A AET]])&gt;0,LEN(tblRound4[[#This Row],[Team B AET]])&gt;0,tblRound4[[#This Row],[Team A AET]]&lt;&gt;tblRound4[[#This Row],[Team B AET]])</calculatedColumnFormula>
    </tableColumn>
    <tableColumn id="10" xr3:uid="{53451451-37F8-45E3-AD27-C864EACA5DC5}" name="Is_Result_Penalties" dataDxfId="164">
      <calculatedColumnFormula>AND(LEN(tblRound4[[#This Row],[Team A Penalties]])&gt;0,LEN(tblRound4[[#This Row],[Team B Penalties]])&gt;0)</calculatedColumnFormula>
    </tableColumn>
    <tableColumn id="11" xr3:uid="{7C2F02F3-A805-4B0C-BEF7-812F072CC01D}" name="Is_Complete" dataDxfId="163">
      <calculatedColumnFormula>AND(OR(tblRound4[[#This Row],[Is_Result_Goals]:[Is_Result_Penalties]]),tblRound4[[#This Row],[Is_Match_Complete_1]],tblRound4[[#This Row],[Is_Match_Complete_2]])</calculatedColumnFormula>
    </tableColumn>
    <tableColumn id="12" xr3:uid="{2407560C-5523-4864-B96E-9F1F67237C6B}" name="Team_1_Value" dataDxfId="162">
      <calculatedColumnFormula>IF(tblRound4[[#This Row],[Is_Result_Goals]],tblRound4[[#This Row],[Team A Goals]],IF(tblRound4[[#This Row],[Is_Result_AET]],tblRound4[[#This Row],[Team A AET]],IF(tblRound4[[#This Row],[Is_Result_Penalties]],tblRound4[[#This Row],[Team A Penalties]],"")))</calculatedColumnFormula>
    </tableColumn>
    <tableColumn id="13" xr3:uid="{881D8D8F-BAE7-4B05-AFDE-64E56847A137}" name="Team_2_Value" dataDxfId="161">
      <calculatedColumnFormula>IF(tblRound4[[#This Row],[Is_Result_Goals]],tblRound4[[#This Row],[Team B Goals]],IF(tblRound4[[#This Row],[Is_Result_AET]],tblRound4[[#This Row],[Team B AET]],IF(tblRound4[[#This Row],[Is_Result_Penalties]],tblRound4[[#This Row],[Team B Penalties]],"")))</calculatedColumnFormula>
    </tableColumn>
    <tableColumn id="14" xr3:uid="{A0F1EAB4-38EA-4868-BB9D-E4915064F5FF}" name="Team_Number_Winner" dataDxfId="133">
      <calculatedColumnFormula>IF(tblRound4[[#This Row],[Is_Complete]],IF(tblRound4[[#This Row],[Team_1_Value]]&gt;tblRound4[[#This Row],[Team_2_Value]],tblRound4[[#This Row],[Team_1_Number]],tblRound4[[#This Row],[Team_2_Number]]),"")</calculatedColumnFormula>
    </tableColumn>
    <tableColumn id="28" xr3:uid="{58F052EE-6248-46E7-A521-0C9DA7E61735}" name="Match Number" dataDxfId="107">
      <calculatedColumnFormula>tblRound4[[#This Row],[Euro_Match_Number]]</calculatedColumnFormula>
    </tableColumn>
    <tableColumn id="29" xr3:uid="{C1B2CFE8-3305-4944-B5BB-E00BE8A93D61}" name="Round" dataDxfId="106">
      <calculatedColumnFormula>tblRound4[[#This Row],[Round_Name]]</calculatedColumnFormula>
    </tableColumn>
    <tableColumn id="30" xr3:uid="{1E9322C7-23D8-43E2-8FA9-63FEE6E832DF}" name="Date &amp; Time" dataDxfId="105">
      <calculatedColumnFormula>TEXT(SUM(tblRound4[[#This Row],[Match_Date]],tblRound4[[#This Row],[Match_Time_UK]]),"ddd dd mmm hh:mm")&amp;IF(LEN(tblRound4[[#This Row],[TV_Station]])&gt;0," ("&amp;tblRound4[[#This Row],[TV_Station]]&amp;")","")</calculatedColumnFormula>
    </tableColumn>
    <tableColumn id="31" xr3:uid="{55DDE55E-3BF5-49F4-9311-042F3B360867}" name="Venue" dataDxfId="104">
      <calculatedColumnFormula>INDEX(lkupVenue[],MATCH(tblRound4[[#This Row],[Venue_Number]],lkupVenue[Venue_Number],0),MATCH("Venue_Short",lkupVenue[#Headers],0))</calculatedColumnFormula>
    </tableColumn>
    <tableColumn id="15" xr3:uid="{A79A7869-9D5D-447C-BF4B-4143C0E844EE}" name="Team A Name" dataDxfId="103">
      <calculatedColumnFormula>IF(tblRound4[[#This Row],[Is_Match_Complete_1]],INDEX(lkupTeam[],MATCH(tblRound4[[#This Row],[Team_1_Number]],lkupTeam[Team_Number],0),MATCH("Team",lkupTeam[#Headers],0)),tblRound4[[#This Row],[Team_1_Round_Name]])</calculatedColumnFormula>
    </tableColumn>
    <tableColumn id="16" xr3:uid="{C420F9F9-C254-4EBD-9A27-9620C82B5154}" name="Team A Goals" dataDxfId="102"/>
    <tableColumn id="17" xr3:uid="{42923200-9B57-4B5E-8980-8EAF8A118423}" name="Team A AET" dataDxfId="101"/>
    <tableColumn id="18" xr3:uid="{C56F0C4D-6C89-47AE-AF20-84C4CF5DC3E7}" name="Team A Penalties" dataDxfId="100"/>
    <tableColumn id="19" xr3:uid="{11A5228A-BBED-4EB7-ACD7-7C7D73949D4E}" name="Team B Name" dataDxfId="99">
      <calculatedColumnFormula>IF(tblRound4[[#This Row],[Is_Match_Complete_2]],INDEX(lkupTeam[],MATCH(tblRound4[[#This Row],[Team_2_Number]],lkupTeam[Team_Number],0),MATCH("Team",lkupTeam[#Headers],0)),tblRound4[[#This Row],[Team_2_Round_Name]])</calculatedColumnFormula>
    </tableColumn>
    <tableColumn id="20" xr3:uid="{20B86109-6FD7-4F37-AD0F-AE29F4013885}" name="Team B Goals" dataDxfId="98"/>
    <tableColumn id="21" xr3:uid="{B75A07E7-71FF-4DF2-B686-4B0B215A6BF8}" name="Team B AET" dataDxfId="97"/>
    <tableColumn id="22" xr3:uid="{96B9A338-77B9-495F-AC21-0D63E13A115A}" name="Team B Penalties" dataDxfId="9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378717D6-B85B-4F42-872C-A239092C6AC1}" name="tblRound2" displayName="tblRound2" ref="B28:AK29" totalsRowShown="0" headerRowDxfId="49" dataDxfId="136">
  <autoFilter ref="B28:AK29" xr:uid="{378717D6-B85B-4F42-872C-A239092C6AC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09F3C174-A59B-4817-9162-BB32A58DA7B9}" name="Euro_Match_Number" dataDxfId="159"/>
    <tableColumn id="2" xr3:uid="{D7083CE5-C2CD-45B0-8A33-3863214AB369}" name="KO_Match_Number_1" dataDxfId="158"/>
    <tableColumn id="3" xr3:uid="{226B36AA-B98E-49FF-8096-3E66C604B92F}" name="Spare 1" dataDxfId="157"/>
    <tableColumn id="4" xr3:uid="{EBEC0BB0-84A0-46F3-B469-E8B7CCE675D5}" name="KO_Match_Number_2" dataDxfId="156"/>
    <tableColumn id="5" xr3:uid="{A0FD4FCF-126D-47E6-8CCA-49C9D417366E}" name="Spare 2" dataDxfId="155"/>
    <tableColumn id="36" xr3:uid="{2CA03727-4B17-46E3-B38D-F0B05E4FE5CD}" name="Spare 24" dataDxfId="154"/>
    <tableColumn id="34" xr3:uid="{4F6CC1B2-9A68-4A5E-836E-B809256A2B8C}" name="Is_Match_Complete_1" dataDxfId="153">
      <calculatedColumnFormula>COUNTIFS(tblRound4[Euro_Match_Number],tblRound2[[#This Row],[KO_Match_Number_1]],tblRound4[Is_Complete],TRUE)&gt;0</calculatedColumnFormula>
    </tableColumn>
    <tableColumn id="35" xr3:uid="{9D6E0C70-A949-4BC2-B560-038550CD8E1E}" name="Is_Match_Complete_2" dataDxfId="152">
      <calculatedColumnFormula>COUNTIFS(tblRound4[Euro_Match_Number],tblRound2[[#This Row],[KO_Match_Number_2]],tblRound4[Is_Complete],TRUE)&gt;0</calculatedColumnFormula>
    </tableColumn>
    <tableColumn id="32" xr3:uid="{0493E148-481C-4553-B60C-31485A0F79CC}" name="Team_1_Round_Name" dataDxfId="151">
      <calculatedColumnFormula>"Winner Match "&amp;tblRound2[[#This Row],[KO_Match_Number_1]]</calculatedColumnFormula>
    </tableColumn>
    <tableColumn id="33" xr3:uid="{76550AD2-4454-45D2-981F-8118A1A92A63}" name="Team_2_Round_Name" dataDxfId="150">
      <calculatedColumnFormula>"Winner Match "&amp;tblRound2[[#This Row],[KO_Match_Number_2]]</calculatedColumnFormula>
    </tableColumn>
    <tableColumn id="6" xr3:uid="{980E3DB5-2A86-4238-AA12-ED776EFA9F81}" name="Team_1_Number" dataDxfId="149">
      <calculatedColumnFormula>INDEX(tblRound4[],MATCH(tblRound2[[#This Row],[KO_Match_Number_1]],tblRound4[Euro_Match_Number],0),MATCH("Team_Number_Winner",tblRound4[#Headers],0))</calculatedColumnFormula>
    </tableColumn>
    <tableColumn id="7" xr3:uid="{3CB92842-199A-40D6-86AD-6DCF2B53D4E1}" name="Team_2_Number" dataDxfId="148">
      <calculatedColumnFormula>INDEX(tblRound4[],MATCH(tblRound2[[#This Row],[KO_Match_Number_2]],tblRound4[Euro_Match_Number],0),MATCH("Team_Number_Winner",tblRound4[#Headers],0))</calculatedColumnFormula>
    </tableColumn>
    <tableColumn id="23" xr3:uid="{380C3FD2-8088-4A51-8799-9E542E12607A}" name="Venue_Number" dataDxfId="147">
      <calculatedColumnFormula>INDEX(lkupRoundGame[],MATCH(tblRound2[[#This Row],[Euro_Match_Number]],lkupRoundGame[Euro_Match_Number],0),MATCH("Venue_Number",lkupRoundGame[#Headers],0))</calculatedColumnFormula>
    </tableColumn>
    <tableColumn id="24" xr3:uid="{41F57B9B-2015-4F64-A6F1-AB347CA1CC13}" name="Round_Name" dataDxfId="146">
      <calculatedColumnFormula>INDEX(lkupRoundGame[],MATCH(tblRound2[[#This Row],[Euro_Match_Number]],lkupRoundGame[Euro_Match_Number],0),MATCH("Round_Name",lkupRoundGame[#Headers],0))</calculatedColumnFormula>
    </tableColumn>
    <tableColumn id="25" xr3:uid="{1F7F35C3-FB34-4E6F-A2B0-F3C046F91D6D}" name="Match_Date" dataDxfId="145">
      <calculatedColumnFormula>INDEX(lkupRoundGame[],MATCH(tblRound2[[#This Row],[Euro_Match_Number]],lkupRoundGame[Euro_Match_Number],0),MATCH("Match_Date",lkupRoundGame[#Headers],0))</calculatedColumnFormula>
    </tableColumn>
    <tableColumn id="26" xr3:uid="{C79AC28D-D012-4AAC-9FB5-C2235A873B0F}" name="Match_Time_UK" dataDxfId="144">
      <calculatedColumnFormula>INDEX(lkupRoundGame[],MATCH(tblRound2[[#This Row],[Euro_Match_Number]],lkupRoundGame[Euro_Match_Number],0),MATCH("Match_Time_UK",lkupRoundGame[#Headers],0))</calculatedColumnFormula>
    </tableColumn>
    <tableColumn id="27" xr3:uid="{C927E626-3E79-4ABB-AF5E-DDF57092E15D}" name="TV_Station" dataDxfId="143">
      <calculatedColumnFormula>""&amp;INDEX(lkupRoundGame[],MATCH(tblRound2[[#This Row],[Euro_Match_Number]],lkupRoundGame[Euro_Match_Number],0),MATCH("TV_Station",lkupRoundGame[#Headers],0))</calculatedColumnFormula>
    </tableColumn>
    <tableColumn id="8" xr3:uid="{6210DE79-8327-4CA1-BAB1-9BAC289C8FBC}" name="Is_Result_Goals" dataDxfId="142">
      <calculatedColumnFormula>AND(LEN(tblRound2[[#This Row],[Team A Goals]])&gt;0,LEN(tblRound2[[#This Row],[Team B Goals]])&gt;0,tblRound2[[#This Row],[Team A Goals]]&lt;&gt;tblRound2[[#This Row],[Team B Goals]])</calculatedColumnFormula>
    </tableColumn>
    <tableColumn id="9" xr3:uid="{DAE90C33-515B-483B-8391-5ADC41E874FF}" name="Is_Result_AET" dataDxfId="141">
      <calculatedColumnFormula>AND(LEN(tblRound2[[#This Row],[Team A AET]])&gt;0,LEN(tblRound2[[#This Row],[Team B AET]])&gt;0,tblRound2[[#This Row],[Team A AET]]&lt;&gt;tblRound2[[#This Row],[Team B AET]])</calculatedColumnFormula>
    </tableColumn>
    <tableColumn id="10" xr3:uid="{2EE5C47D-4A28-4812-898B-99F14125DCD7}" name="Is_Result_Penalties" dataDxfId="140">
      <calculatedColumnFormula>AND(LEN(tblRound2[[#This Row],[Team A Penalties]])&gt;0,LEN(tblRound2[[#This Row],[Team B Penalties]])&gt;0)</calculatedColumnFormula>
    </tableColumn>
    <tableColumn id="11" xr3:uid="{A63CCC81-3B6A-4B29-B68C-5429F9586993}" name="Is_Complete" dataDxfId="139">
      <calculatedColumnFormula>AND(OR(tblRound2[[#This Row],[Is_Result_Goals]:[Is_Result_Penalties]]),tblRound2[[#This Row],[Is_Match_Complete_1]],tblRound2[[#This Row],[Is_Match_Complete_2]])</calculatedColumnFormula>
    </tableColumn>
    <tableColumn id="12" xr3:uid="{5310A77F-70FE-48C0-AF05-3C198784B808}" name="Team_1_Value" dataDxfId="138">
      <calculatedColumnFormula>IF(tblRound2[[#This Row],[Is_Result_Goals]],tblRound2[[#This Row],[Team A Goals]],IF(tblRound2[[#This Row],[Is_Result_AET]],tblRound2[[#This Row],[Team A AET]],IF(tblRound2[[#This Row],[Is_Result_Penalties]],tblRound2[[#This Row],[Team A Penalties]],"")))</calculatedColumnFormula>
    </tableColumn>
    <tableColumn id="13" xr3:uid="{27BC6A12-7A1B-4FED-8569-74AC44D6625C}" name="Team_2_Value" dataDxfId="137">
      <calculatedColumnFormula>IF(tblRound2[[#This Row],[Is_Result_Goals]],tblRound2[[#This Row],[Team B Goals]],IF(tblRound2[[#This Row],[Is_Result_AET]],tblRound2[[#This Row],[Team B AET]],IF(tblRound2[[#This Row],[Is_Result_Penalties]],tblRound2[[#This Row],[Team B Penalties]],"")))</calculatedColumnFormula>
    </tableColumn>
    <tableColumn id="14" xr3:uid="{1BB9FB18-CAC3-4B04-B2A4-52D592A5B291}" name="Team_Number_Winner" dataDxfId="132">
      <calculatedColumnFormula>IF(tblRound2[[#This Row],[Is_Complete]],IF(tblRound2[[#This Row],[Team_1_Value]]&gt;tblRound2[[#This Row],[Team_2_Value]],tblRound2[[#This Row],[Team_1_Number]],tblRound2[[#This Row],[Team_2_Number]]),"")</calculatedColumnFormula>
    </tableColumn>
    <tableColumn id="28" xr3:uid="{51F13A00-4082-43C6-A713-8738B227BAA0}" name="Match Number" dataDxfId="95">
      <calculatedColumnFormula>tblRound2[[#This Row],[Euro_Match_Number]]</calculatedColumnFormula>
    </tableColumn>
    <tableColumn id="29" xr3:uid="{4273A138-49A8-4FF2-9323-EDAD6FF551FE}" name="Round" dataDxfId="94">
      <calculatedColumnFormula>tblRound2[[#This Row],[Round_Name]]</calculatedColumnFormula>
    </tableColumn>
    <tableColumn id="30" xr3:uid="{722D7018-D217-454A-889F-7B27D899A30A}" name="Date &amp; Time" dataDxfId="93">
      <calculatedColumnFormula>TEXT(SUM(tblRound2[[#This Row],[Match_Date]],tblRound2[[#This Row],[Match_Time_UK]]),"ddd dd mmm hh:mm")&amp;IF(LEN(tblRound2[[#This Row],[TV_Station]])&gt;0," ("&amp;tblRound2[[#This Row],[TV_Station]]&amp;")","")</calculatedColumnFormula>
    </tableColumn>
    <tableColumn id="31" xr3:uid="{2F0B7DD8-064A-4C2D-B7C8-FE943BEBACDC}" name="Venue" dataDxfId="92">
      <calculatedColumnFormula>INDEX(lkupVenue[],MATCH(tblRound2[[#This Row],[Venue_Number]],lkupVenue[Venue_Number],0),MATCH("Venue_Short",lkupVenue[#Headers],0))</calculatedColumnFormula>
    </tableColumn>
    <tableColumn id="15" xr3:uid="{59E3D96F-939E-402A-B91B-FF9EE8B85354}" name="Team A Name" dataDxfId="91">
      <calculatedColumnFormula>IF(tblRound2[[#This Row],[Is_Match_Complete_1]],INDEX(lkupTeam[],MATCH(tblRound2[[#This Row],[Team_1_Number]],lkupTeam[Team_Number],0),MATCH("Team",lkupTeam[#Headers],0)),tblRound2[[#This Row],[Team_1_Round_Name]])</calculatedColumnFormula>
    </tableColumn>
    <tableColumn id="16" xr3:uid="{8FFB1C75-E4D0-4328-96EA-1B4C77797F18}" name="Team A Goals" dataDxfId="90"/>
    <tableColumn id="17" xr3:uid="{35FDBA31-4B29-4FE3-97D6-4E3B3B9D44F3}" name="Team A AET" dataDxfId="89"/>
    <tableColumn id="18" xr3:uid="{86E743CF-BB03-476A-B727-0E8A2EBD8F2D}" name="Team A Penalties" dataDxfId="88"/>
    <tableColumn id="19" xr3:uid="{E36DE66D-DB2E-4E9B-BBD7-C922FD61910F}" name="Team B Name" dataDxfId="87">
      <calculatedColumnFormula>IF(tblRound2[[#This Row],[Is_Match_Complete_2]],INDEX(lkupTeam[],MATCH(tblRound2[[#This Row],[Team_2_Number]],lkupTeam[Team_Number],0),MATCH("Team",lkupTeam[#Headers],0)),tblRound2[[#This Row],[Team_2_Round_Name]])</calculatedColumnFormula>
    </tableColumn>
    <tableColumn id="20" xr3:uid="{ACA822C9-17E3-4270-9003-B5B6EE89ED49}" name="Team B Goals" dataDxfId="86"/>
    <tableColumn id="21" xr3:uid="{3B7481E6-8AEA-46BB-A9F3-2A0EE1554A59}" name="Team B AET" dataDxfId="85"/>
    <tableColumn id="22" xr3:uid="{504D21D8-F30A-4CC6-9A61-006D9B1D40B9}" name="Team B Penalties" dataDxfId="8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E4970D4-1506-442E-AF64-64E6B083BDEA}" name="tblGroupD" displayName="tblGroupD" ref="B40:AE44" totalsRowShown="0" headerRowDxfId="588" dataDxfId="587">
  <autoFilter ref="B40:AE44" xr:uid="{CE4970D4-1506-442E-AF64-64E6B083BDEA}"/>
  <tableColumns count="30">
    <tableColumn id="1" xr3:uid="{FB9B0B27-3FC9-4B83-8941-09F5EC1FB0DB}" name="Table_Rank_Code" dataDxfId="609"/>
    <tableColumn id="2" xr3:uid="{9E8F7EC2-85D1-42E7-8589-60C1AD7D7359}" name="Team_Number" dataDxfId="608">
      <calculatedColumnFormula>INDEX(tblGroupTotals[],MATCH(tblGroupD[[#This Row],[Table_Rank_Code]],tblGroupTotals[Table_Rank_Code],0),MATCH("Team_Number",tblGroupTotals[#Headers],0))</calculatedColumnFormula>
    </tableColumn>
    <tableColumn id="3" xr3:uid="{96D15E9E-CB29-41B0-9B8D-56D3857F1D16}" name="Table_Position" dataDxfId="607"/>
    <tableColumn id="4" xr3:uid="{ECB35E3C-4A27-46E2-9D34-ED8B1AC3CACE}" name="Table_Team" dataDxfId="606">
      <calculatedColumnFormula>INDEX(lkupTeam[],MATCH(tblGroupD[[#This Row],[Team_Number]],lkupTeam[Team_Number],0),MATCH("Team",lkupTeam[#Headers],0))</calculatedColumnFormula>
    </tableColumn>
    <tableColumn id="5" xr3:uid="{9A24084A-232C-4BF4-B2F4-0F4EDBD57F75}" name="Table_Played" dataDxfId="605">
      <calculatedColumnFormula>INDEX(tblGroupTotals[],MATCH(tblGroupD[[#This Row],[Table_Rank_Code]],tblGroupTotals[Table_Rank_Code],0),MATCH("Total_Games",tblGroupTotals[#Headers],0))</calculatedColumnFormula>
    </tableColumn>
    <tableColumn id="6" xr3:uid="{ED80485F-A892-4C5A-A3D1-9667EF86A86E}" name="Table_Won" dataDxfId="604">
      <calculatedColumnFormula>INDEX(tblGroupTotals[],MATCH(tblGroupD[[#This Row],[Table_Rank_Code]],tblGroupTotals[Table_Rank_Code],0),MATCH("Total_Wins",tblGroupTotals[#Headers],0))</calculatedColumnFormula>
    </tableColumn>
    <tableColumn id="7" xr3:uid="{2D40EC2D-71D0-46C7-87A3-7DC3B1C3AC58}" name="Table_Drew" dataDxfId="603">
      <calculatedColumnFormula>INDEX(tblGroupTotals[],MATCH(tblGroupD[[#This Row],[Table_Rank_Code]],tblGroupTotals[Table_Rank_Code],0),MATCH("Total_Draws",tblGroupTotals[#Headers],0))</calculatedColumnFormula>
    </tableColumn>
    <tableColumn id="8" xr3:uid="{58333F73-50BC-4EB4-A8C0-2585F3A52122}" name="Table_Lost" dataDxfId="602">
      <calculatedColumnFormula>INDEX(tblGroupTotals[],MATCH(tblGroupD[[#This Row],[Table_Rank_Code]],tblGroupTotals[Table_Rank_Code],0),MATCH("Total_Loses",tblGroupTotals[#Headers],0))</calculatedColumnFormula>
    </tableColumn>
    <tableColumn id="9" xr3:uid="{667E7EE3-6452-4611-B4CE-676A5FEA11FB}" name="Table_For" dataDxfId="601">
      <calculatedColumnFormula>INDEX(tblGroupTotals[],MATCH(tblGroupD[[#This Row],[Table_Rank_Code]],tblGroupTotals[Table_Rank_Code],0),MATCH("Total_Goals_For",tblGroupTotals[#Headers],0))</calculatedColumnFormula>
    </tableColumn>
    <tableColumn id="10" xr3:uid="{93519447-ACE3-4169-BE2A-176937261C77}" name="Table_Against" dataDxfId="600">
      <calculatedColumnFormula>INDEX(tblGroupTotals[],MATCH(tblGroupD[[#This Row],[Table_Rank_Code]],tblGroupTotals[Table_Rank_Code],0),MATCH("Total_Goals_Against",tblGroupTotals[#Headers],0))</calculatedColumnFormula>
    </tableColumn>
    <tableColumn id="11" xr3:uid="{B09BE4D0-A3AD-48EF-9698-EA9B64E5CFEA}" name="Table_Goal_Difference" dataDxfId="599">
      <calculatedColumnFormula>INDEX(tblGroupTotals[],MATCH(tblGroupD[[#This Row],[Table_Rank_Code]],tblGroupTotals[Table_Rank_Code],0),MATCH("Goal_Difference",tblGroupTotals[#Headers],0))</calculatedColumnFormula>
    </tableColumn>
    <tableColumn id="12" xr3:uid="{072CB6C4-BC0A-4526-83C4-CF4643F8627E}" name="Table_Points" dataDxfId="598">
      <calculatedColumnFormula>INDEX(tblGroupTotals[],MATCH(tblGroupD[[#This Row],[Table_Rank_Code]],tblGroupTotals[Table_Rank_Code],0),MATCH("Total_Points",tblGroupTotals[#Headers],0))</calculatedColumnFormula>
    </tableColumn>
    <tableColumn id="13" xr3:uid="{B2C3C19D-0BCA-4A5E-B406-9799171A7329}" name="Table_Head_to_Head_Rank" dataDxfId="597">
      <calculatedColumnFormula>IF(INDEX(tblGroupTotals[],MATCH(tblGroupD[[#This Row],[Table_Rank_Code]],tblGroupTotals[Table_Rank_Code],0),MATCH("Group_Points_TieBreak_Rank_1",tblGroupTotals[#Headers],0))&lt;&gt;4,INDEX(tblGroupTotals[],MATCH(tblGroupD[[#This Row],[Table_Rank_Code]],tblGroupTotals[Table_Rank_Code],0),MATCH("Group_Points_TieBreak_Rank_1",tblGroupTotals[#Headers],0)),"")</calculatedColumnFormula>
    </tableColumn>
    <tableColumn id="14" xr3:uid="{A8062C6C-FBEA-4689-8512-84011ED522B1}" name="Total_Diciplinary_Points" dataDxfId="596"/>
    <tableColumn id="15" xr3:uid="{5F31E1F8-A1DC-4B7A-A754-D84C3F085D83}" name="Total_Group_Rank_Value" dataDxfId="595">
      <calculatedColumnFormula>INDEX(tblGroupTotals[],MATCH(tblGroupD[[#This Row],[Table_Rank_Code]],tblGroupTotals[Table_Rank_Code],0),MATCH("Total_Group_Rank_Value",tblGroupTotals[#Headers],0))</calculatedColumnFormula>
    </tableColumn>
    <tableColumn id="17" xr3:uid="{F0E8DA0D-A961-43BF-B50D-C16DD91B379E}" name="Group_Point_Rank_Value" dataDxfId="594">
      <calculatedColumnFormula>LEFT(tblGroupD[[#This Row],[Total_Group_Rank_Value]],1)</calculatedColumnFormula>
    </tableColumn>
    <tableColumn id="16" xr3:uid="{5EDED27C-5352-4B3A-B567-466342764990}" name="Head_To_Head_Rank_Value" dataDxfId="593">
      <calculatedColumnFormula>LEFT(tblGroupD[[#This Row],[Total_Group_Rank_Value]],3)</calculatedColumnFormula>
    </tableColumn>
    <tableColumn id="18" xr3:uid="{E93CB0AD-7C85-4C83-9E4B-F1F949ACAF80}" name="Group_Goals_Rank_Value" dataDxfId="592">
      <calculatedColumnFormula>LEFT(tblGroupD[[#This Row],[Total_Group_Rank_Value]],5)</calculatedColumnFormula>
    </tableColumn>
    <tableColumn id="21" xr3:uid="{8A6275E2-1BBA-420E-869F-905E9CF5D776}" name="Wins_Rank_Value" dataDxfId="591">
      <calculatedColumnFormula>LEFT(tblGroupD[[#This Row],[Total_Group_Rank_Value]],6)</calculatedColumnFormula>
    </tableColumn>
    <tableColumn id="20" xr3:uid="{25A21438-8E53-49E3-8FA1-80D59A8CB15B}" name="Penalty_Rank_Value" dataDxfId="590">
      <calculatedColumnFormula>LEFT(tblGroupD[[#This Row],[Total_Group_Rank_Value]],7)</calculatedColumnFormula>
    </tableColumn>
    <tableColumn id="19" xr3:uid="{7F3744AE-96EB-41F8-8B08-176A9017179E}" name="Diciplinary_Rank_Value" dataDxfId="589">
      <calculatedColumnFormula>LEFT(tblGroupD[[#This Row],[Total_Group_Rank_Value]],8)</calculatedColumnFormula>
    </tableColumn>
    <tableColumn id="22" xr3:uid="{34663430-BAD3-4091-BAAB-C083234580DB}" name="Points_Match" dataDxfId="586">
      <calculatedColumnFormula>COUNTIF(tblGroupD[Group_Point_Rank_Value],tblGroupD[[#This Row],[Group_Point_Rank_Value]])&gt;1</calculatedColumnFormula>
    </tableColumn>
    <tableColumn id="23" xr3:uid="{D13CD491-6A6B-4EAD-9CF3-A51F8D9334FD}" name="H2H_Match" dataDxfId="585">
      <calculatedColumnFormula>COUNTIF(tblGroupD[Head_To_Head_Rank_Value],tblGroupD[[#This Row],[Head_To_Head_Rank_Value]])&gt;1</calculatedColumnFormula>
    </tableColumn>
    <tableColumn id="24" xr3:uid="{E860EDC6-6814-49FE-AD11-6C2993A03591}" name="Goals_Match" dataDxfId="584">
      <calculatedColumnFormula>COUNTIF(tblGroupD[Group_Goals_Rank_Value],tblGroupD[[#This Row],[Group_Goals_Rank_Value]])&gt;1</calculatedColumnFormula>
    </tableColumn>
    <tableColumn id="25" xr3:uid="{6692BD9B-59E7-4EA8-A9FD-BAF41F5402FD}" name="Wins_Match" dataDxfId="583">
      <calculatedColumnFormula>COUNTIF(tblGroupD[Wins_Rank_Value],tblGroupD[[#This Row],[Wins_Rank_Value]])&gt;1</calculatedColumnFormula>
    </tableColumn>
    <tableColumn id="26" xr3:uid="{F0C55716-F15E-4061-A4E5-D60ABB700D78}" name="Penalty_Match" dataDxfId="582">
      <calculatedColumnFormula>COUNTIF(tblGroupD[Penalty_Rank_Value],tblGroupD[[#This Row],[Penalty_Rank_Value]])&gt;1</calculatedColumnFormula>
    </tableColumn>
    <tableColumn id="27" xr3:uid="{04E1BBA2-8D74-40EE-9EB8-FA53D8BA9875}" name="Disciplinary_Match" dataDxfId="581">
      <calculatedColumnFormula>COUNTIF(tblGroupD[Diciplinary_Rank_Value],tblGroupD[[#This Row],[Diciplinary_Rank_Value]])&gt;1</calculatedColumnFormula>
    </tableColumn>
    <tableColumn id="28" xr3:uid="{BB55983A-F348-427A-A6F2-419721D310CE}" name="Qualifier_Match" dataDxfId="580">
      <calculatedColumnFormula>COUNTIF(tblGroupD[Total_Group_Rank_Value],tblGroupD[[#This Row],[Total_Group_Rank_Value]])&gt;1</calculatedColumnFormula>
    </tableColumn>
    <tableColumn id="29" xr3:uid="{BA88B67D-0576-428B-B76A-B47B260E6609}" name="Qualify_Note" dataDxfId="579">
      <calculatedColumnFormula>IF(tblGroupD[[#This Row],[Points_Match]],IF(tblGroupD[[#This Row],[H2H_Match]],IF(tblGroupD[[#This Row],[Goals_Match]],IF(tblGroupD[[#This Row],[Wins_Match]],IF(tblGroupD[[#This Row],[Penalty_Match]],IF(tblGroupD[[#This Row],[Disciplinary_Match]],"Euro Qualifier Rank","Disciplinary Points ("&amp;tblGroupD[[#This Row],[Total_Diciplinary_Points]]&amp;")"),"Penalties"),"Wins ("&amp;tblGroupD[[#This Row],[Table_Won]]&amp;")"),""),"Head 2 Head ("&amp;tblGroupD[[#This Row],[Table_Head_to_Head_Rank]]&amp;")"),"")</calculatedColumnFormula>
    </tableColumn>
    <tableColumn id="30" xr3:uid="{1F501617-3932-4045-86DA-89F6BDFD5A47}" name="Is_Third_Qualify" dataDxfId="283">
      <calculatedColumnFormula>AND(tblGroupD[[#This Row],[Table_Position]]=3,COUNTIFS(tblGroupThirdPlace[Team_Number],tblGroupD[[#This Row],[Team_Number]],tblGroupThirdPlace[Table_Position],"&lt;5")&gt;0)</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DCEAC5E-3559-47C7-8219-F740BFFD381A}" name="tblMatchesD" displayName="tblMatchesD" ref="AH40:AQ46" totalsRowShown="0" headerRowDxfId="413" dataDxfId="412">
  <autoFilter ref="AH40:AQ46" xr:uid="{ADCEAC5E-3559-47C7-8219-F740BFFD381A}"/>
  <tableColumns count="10">
    <tableColumn id="1" xr3:uid="{4C539507-D798-4563-9486-15DF99138E75}" name="Match_Code" dataDxfId="423"/>
    <tableColumn id="2" xr3:uid="{4E51E6CF-CC7C-47CB-9E7A-ADC13EED439F}" name="Date &amp; Time" dataDxfId="422">
      <calculatedColumnFormula>TEXT(INDEX(tblGroupMatch[],MATCH(tblMatchesD[[#This Row],[Match_Code]],tblGroupMatch[Match_Code],0),MATCH("Date &amp; Time",tblGroupMatch[#Headers],0)),"ddd dd mmm hh:mm")&amp;" ("&amp;INDEX(tblGroupMatch[],MATCH(tblMatchesD[[#This Row],[Match_Code]],tblGroupMatch[Match_Code],0),MATCH("TV_Station",tblGroupMatch[#Headers],0))&amp;")"</calculatedColumnFormula>
    </tableColumn>
    <tableColumn id="3" xr3:uid="{DB36564B-78FA-429B-A128-DC0F4EE96853}" name="Team A Name" dataDxfId="421">
      <calculatedColumnFormula>INDEX(tblGroupMatch[],MATCH(tblMatchesD[[#This Row],[Match_Code]],tblGroupMatch[Match_Code],0),MATCH("Team A Name",tblGroupMatch[#Headers],0))</calculatedColumnFormula>
    </tableColumn>
    <tableColumn id="4" xr3:uid="{A361D1CD-3571-4A6B-B145-E8F6FDDD33D6}" name="Team A Goals" dataDxfId="420">
      <calculatedColumnFormula>INDEX(tblGroupMatch[],MATCH(tblMatchesD[[#This Row],[Match_Code]],tblGroupMatch[Match_Code],0),MATCH("Team A Goals",tblGroupMatch[#Headers],0))&amp;IF(AND(tblMatchesD[[#This Row],[Team A Penalties]]&gt;0,tblMatchesD[[#This Row],[Team B Penalties]]&gt;0)," (Pen "&amp;tblMatchesD[[#This Row],[Team A Penalties]]&amp;")","")</calculatedColumnFormula>
    </tableColumn>
    <tableColumn id="5" xr3:uid="{AA0C0F75-A91F-4191-94BC-F2D6EF75228B}" name="Team A Penalties" dataDxfId="419">
      <calculatedColumnFormula>INDEX(tblGroupMatch[],MATCH(tblMatchesD[[#This Row],[Match_Code]],tblGroupMatch[Match_Code],0),MATCH("Team A Penalties",tblGroupMatch[#Headers],0))</calculatedColumnFormula>
    </tableColumn>
    <tableColumn id="6" xr3:uid="{38A13109-3A74-4AAB-A819-D95DCF847D11}" name="Team B Penalties" dataDxfId="418">
      <calculatedColumnFormula>INDEX(tblGroupMatch[],MATCH(tblMatchesD[[#This Row],[Match_Code]],tblGroupMatch[Match_Code],0),MATCH("Team B Penalties",tblGroupMatch[#Headers],0))</calculatedColumnFormula>
    </tableColumn>
    <tableColumn id="7" xr3:uid="{C0D952B2-960F-4AC6-81AF-A7D05BFADA23}" name="Team B Goals" dataDxfId="417">
      <calculatedColumnFormula>IF(AND(tblMatchesD[[#This Row],[Team A Penalties]]&gt;0,tblMatchesD[[#This Row],[Team B Penalties]]&gt;0),"(Pen "&amp;tblMatchesD[[#This Row],[Team B Penalties]]&amp;") ","")&amp;INDEX(tblGroupMatch[],MATCH(tblMatchesD[[#This Row],[Match_Code]],tblGroupMatch[Match_Code],0),MATCH("Team B Goals",tblGroupMatch[#Headers],0))</calculatedColumnFormula>
    </tableColumn>
    <tableColumn id="8" xr3:uid="{33971B28-AFB7-405B-BEB7-78B4309F32C5}" name="Team B Name" dataDxfId="416">
      <calculatedColumnFormula>INDEX(tblGroupMatch[],MATCH(tblMatchesD[[#This Row],[Match_Code]],tblGroupMatch[Match_Code],0),MATCH("Team B Name",tblGroupMatch[#Headers],0))</calculatedColumnFormula>
    </tableColumn>
    <tableColumn id="9" xr3:uid="{186B3E7A-7497-497C-BC68-B07CEECDED58}" name="Venue" dataDxfId="415">
      <calculatedColumnFormula>INDEX(tblGroupMatch[],MATCH(tblMatchesD[[#This Row],[Match_Code]],tblGroupMatch[Match_Code],0),MATCH("Venue",tblGroupMatch[#Headers],0))</calculatedColumnFormula>
    </tableColumn>
    <tableColumn id="10" xr3:uid="{56C62B65-4E3F-4655-B851-511CFC8A3100}" name="Mid Section" dataDxfId="414">
      <calculatedColumnFormula>" - "</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463D3C3A-572D-4120-B52D-4477BBEEC578}" name="tblGroupE" displayName="tblGroupE" ref="B51:AE55" totalsRowShown="0" headerRowDxfId="578" dataDxfId="577">
  <autoFilter ref="B51:AE55" xr:uid="{463D3C3A-572D-4120-B52D-4477BBEEC578}"/>
  <tableColumns count="30">
    <tableColumn id="1" xr3:uid="{2ADF23F5-DE74-4529-B8F0-8C04F730F799}" name="Table_Rank_Code" dataDxfId="576"/>
    <tableColumn id="2" xr3:uid="{A2A01FF6-7A1D-4F41-9045-660B21BF1B54}" name="Team_Number" dataDxfId="575">
      <calculatedColumnFormula>INDEX(tblGroupTotals[],MATCH(tblGroupE[[#This Row],[Table_Rank_Code]],tblGroupTotals[Table_Rank_Code],0),MATCH("Team_Number",tblGroupTotals[#Headers],0))</calculatedColumnFormula>
    </tableColumn>
    <tableColumn id="3" xr3:uid="{62678400-F573-4440-B6D4-DC846FAA3961}" name="Table_Position" dataDxfId="574"/>
    <tableColumn id="4" xr3:uid="{F0CE506E-6A0C-4021-BB30-912999F2E02B}" name="Table_Team" dataDxfId="573">
      <calculatedColumnFormula>INDEX(lkupTeam[],MATCH(tblGroupE[[#This Row],[Team_Number]],lkupTeam[Team_Number],0),MATCH("Team",lkupTeam[#Headers],0))</calculatedColumnFormula>
    </tableColumn>
    <tableColumn id="5" xr3:uid="{D5C4C9CA-421F-4403-B01F-BE3E93BE4E3B}" name="Table_Played" dataDxfId="572">
      <calculatedColumnFormula>INDEX(tblGroupTotals[],MATCH(tblGroupE[[#This Row],[Table_Rank_Code]],tblGroupTotals[Table_Rank_Code],0),MATCH("Total_Games",tblGroupTotals[#Headers],0))</calculatedColumnFormula>
    </tableColumn>
    <tableColumn id="6" xr3:uid="{BF2D9D5E-F424-43E0-8E38-41B690A56509}" name="Table_Won" dataDxfId="571">
      <calculatedColumnFormula>INDEX(tblGroupTotals[],MATCH(tblGroupE[[#This Row],[Table_Rank_Code]],tblGroupTotals[Table_Rank_Code],0),MATCH("Total_Wins",tblGroupTotals[#Headers],0))</calculatedColumnFormula>
    </tableColumn>
    <tableColumn id="7" xr3:uid="{5A9FBC6C-D1A0-49EC-AD36-E175264A650D}" name="Table_Drew" dataDxfId="570">
      <calculatedColumnFormula>INDEX(tblGroupTotals[],MATCH(tblGroupE[[#This Row],[Table_Rank_Code]],tblGroupTotals[Table_Rank_Code],0),MATCH("Total_Draws",tblGroupTotals[#Headers],0))</calculatedColumnFormula>
    </tableColumn>
    <tableColumn id="8" xr3:uid="{149853C5-C5AE-4529-88A2-C43687746BA7}" name="Table_Lost" dataDxfId="569">
      <calculatedColumnFormula>INDEX(tblGroupTotals[],MATCH(tblGroupE[[#This Row],[Table_Rank_Code]],tblGroupTotals[Table_Rank_Code],0),MATCH("Total_Loses",tblGroupTotals[#Headers],0))</calculatedColumnFormula>
    </tableColumn>
    <tableColumn id="9" xr3:uid="{2E714DF4-1ABF-467B-8630-2ACFA7DAA214}" name="Table_For" dataDxfId="568">
      <calculatedColumnFormula>INDEX(tblGroupTotals[],MATCH(tblGroupE[[#This Row],[Table_Rank_Code]],tblGroupTotals[Table_Rank_Code],0),MATCH("Total_Goals_For",tblGroupTotals[#Headers],0))</calculatedColumnFormula>
    </tableColumn>
    <tableColumn id="10" xr3:uid="{0375DEEB-3C6B-470B-B986-4DBE0B9C3BF2}" name="Table_Against" dataDxfId="567">
      <calculatedColumnFormula>INDEX(tblGroupTotals[],MATCH(tblGroupE[[#This Row],[Table_Rank_Code]],tblGroupTotals[Table_Rank_Code],0),MATCH("Total_Goals_Against",tblGroupTotals[#Headers],0))</calculatedColumnFormula>
    </tableColumn>
    <tableColumn id="11" xr3:uid="{04D4DE74-A540-49FF-AA35-7491D551D748}" name="Table_Goal_Difference" dataDxfId="566">
      <calculatedColumnFormula>INDEX(tblGroupTotals[],MATCH(tblGroupE[[#This Row],[Table_Rank_Code]],tblGroupTotals[Table_Rank_Code],0),MATCH("Goal_Difference",tblGroupTotals[#Headers],0))</calculatedColumnFormula>
    </tableColumn>
    <tableColumn id="12" xr3:uid="{5A09AD1B-A915-423C-91F1-1F547901AA92}" name="Table_Points" dataDxfId="565">
      <calculatedColumnFormula>INDEX(tblGroupTotals[],MATCH(tblGroupE[[#This Row],[Table_Rank_Code]],tblGroupTotals[Table_Rank_Code],0),MATCH("Total_Points",tblGroupTotals[#Headers],0))</calculatedColumnFormula>
    </tableColumn>
    <tableColumn id="13" xr3:uid="{C168CF80-436D-4E52-B0E8-B8769CCDDD46}" name="Table_Head_to_Head_Rank" dataDxfId="564">
      <calculatedColumnFormula>IF(INDEX(tblGroupTotals[],MATCH(tblGroupE[[#This Row],[Table_Rank_Code]],tblGroupTotals[Table_Rank_Code],0),MATCH("Group_Points_TieBreak_Rank_1",tblGroupTotals[#Headers],0))&lt;&gt;4,INDEX(tblGroupTotals[],MATCH(tblGroupE[[#This Row],[Table_Rank_Code]],tblGroupTotals[Table_Rank_Code],0),MATCH("Group_Points_TieBreak_Rank_1",tblGroupTotals[#Headers],0)),"")</calculatedColumnFormula>
    </tableColumn>
    <tableColumn id="14" xr3:uid="{65B1A872-2F28-497B-A63F-AD0F14388D1C}" name="Total_Diciplinary_Points" dataDxfId="563">
      <calculatedColumnFormula>INDEX(tblGroupTotals[],MATCH(tblGroupE[[#This Row],[Table_Rank_Code]],tblGroupTotals[Table_Rank_Code],0),MATCH("Total_Diciplinary_Points",tblGroupTotals[#Headers],0))</calculatedColumnFormula>
    </tableColumn>
    <tableColumn id="15" xr3:uid="{F5245218-989F-4901-BC97-5DD1EAE3067B}" name="Total_Group_Rank_Value" dataDxfId="562">
      <calculatedColumnFormula>INDEX(tblGroupTotals[],MATCH(tblGroupE[[#This Row],[Table_Rank_Code]],tblGroupTotals[Table_Rank_Code],0),MATCH("Total_Group_Rank_Value",tblGroupTotals[#Headers],0))</calculatedColumnFormula>
    </tableColumn>
    <tableColumn id="17" xr3:uid="{9C5BB6DD-4F66-4B9F-993F-53DB7D6D223E}" name="Group_Point_Rank_Value" dataDxfId="561">
      <calculatedColumnFormula>LEFT(tblGroupE[[#This Row],[Total_Group_Rank_Value]],1)</calculatedColumnFormula>
    </tableColumn>
    <tableColumn id="16" xr3:uid="{ADCD3349-1284-4AA1-983A-1C65053E44E1}" name="Head_To_Head_Rank_Value" dataDxfId="560">
      <calculatedColumnFormula>LEFT(tblGroupE[[#This Row],[Total_Group_Rank_Value]],3)</calculatedColumnFormula>
    </tableColumn>
    <tableColumn id="18" xr3:uid="{F5C08946-ECFE-45D1-9CA6-740AD7301655}" name="Group_Goals_Rank_Value" dataDxfId="559">
      <calculatedColumnFormula>LEFT(tblGroupE[[#This Row],[Total_Group_Rank_Value]],5)</calculatedColumnFormula>
    </tableColumn>
    <tableColumn id="21" xr3:uid="{51E2177B-A09B-4FC6-85FF-201873810DF7}" name="Wins_Rank_Value" dataDxfId="558">
      <calculatedColumnFormula>LEFT(tblGroupE[[#This Row],[Total_Group_Rank_Value]],6)</calculatedColumnFormula>
    </tableColumn>
    <tableColumn id="20" xr3:uid="{90000E9E-D9BB-4CC8-A6F7-521C934AB89F}" name="Penalty_Rank_Value" dataDxfId="557">
      <calculatedColumnFormula>LEFT(tblGroupE[[#This Row],[Total_Group_Rank_Value]],7)</calculatedColumnFormula>
    </tableColumn>
    <tableColumn id="19" xr3:uid="{6D4B85E2-257D-40D4-9E13-B4E11E495A8D}" name="Diciplinary_Rank_Value" dataDxfId="556">
      <calculatedColumnFormula>LEFT(tblGroupE[[#This Row],[Total_Group_Rank_Value]],8)</calculatedColumnFormula>
    </tableColumn>
    <tableColumn id="22" xr3:uid="{35D74BA2-BD30-4392-82C2-737C3E34D8C4}" name="Points_Match" dataDxfId="555">
      <calculatedColumnFormula>COUNTIF(tblGroupE[Group_Point_Rank_Value],tblGroupE[[#This Row],[Group_Point_Rank_Value]])&gt;1</calculatedColumnFormula>
    </tableColumn>
    <tableColumn id="23" xr3:uid="{89CF3E86-158E-40D8-81C8-9B305EB7E7D1}" name="H2H_Match" dataDxfId="554">
      <calculatedColumnFormula>COUNTIF(tblGroupE[Head_To_Head_Rank_Value],tblGroupE[[#This Row],[Head_To_Head_Rank_Value]])&gt;1</calculatedColumnFormula>
    </tableColumn>
    <tableColumn id="24" xr3:uid="{BE6BC1C0-466F-4C16-B084-0FBF3953873B}" name="Goals_Match" dataDxfId="553">
      <calculatedColumnFormula>COUNTIF(tblGroupE[Group_Goals_Rank_Value],tblGroupE[[#This Row],[Group_Goals_Rank_Value]])&gt;1</calculatedColumnFormula>
    </tableColumn>
    <tableColumn id="25" xr3:uid="{14DCF3D6-640F-4307-9D70-A59170D7BEA4}" name="Wins_Match" dataDxfId="552">
      <calculatedColumnFormula>COUNTIF(tblGroupE[Wins_Rank_Value],tblGroupE[[#This Row],[Wins_Rank_Value]])&gt;1</calculatedColumnFormula>
    </tableColumn>
    <tableColumn id="26" xr3:uid="{DF462CFC-4B7B-4065-8271-0873D00EEA3D}" name="Penalty_Match" dataDxfId="551">
      <calculatedColumnFormula>COUNTIF(tblGroupE[Penalty_Rank_Value],tblGroupE[[#This Row],[Penalty_Rank_Value]])&gt;1</calculatedColumnFormula>
    </tableColumn>
    <tableColumn id="27" xr3:uid="{926F6596-8286-4F1A-8180-8A995D6BCED5}" name="Disciplinary_Match" dataDxfId="550">
      <calculatedColumnFormula>COUNTIF(tblGroupE[Diciplinary_Rank_Value],tblGroupE[[#This Row],[Diciplinary_Rank_Value]])&gt;1</calculatedColumnFormula>
    </tableColumn>
    <tableColumn id="28" xr3:uid="{8CF73A5B-E34A-4E3A-85FF-708E6FB08558}" name="Qualifier_Match" dataDxfId="549">
      <calculatedColumnFormula>COUNTIF(tblGroupE[Total_Group_Rank_Value],tblGroupE[[#This Row],[Total_Group_Rank_Value]])&gt;1</calculatedColumnFormula>
    </tableColumn>
    <tableColumn id="29" xr3:uid="{90706658-FECF-4C6B-9AB8-1466C92CB24E}" name="Qualify_Note" dataDxfId="548">
      <calculatedColumnFormula>IF(tblGroupE[[#This Row],[Points_Match]],IF(tblGroupE[[#This Row],[H2H_Match]],IF(tblGroupE[[#This Row],[Goals_Match]],IF(tblGroupE[[#This Row],[Wins_Match]],IF(tblGroupE[[#This Row],[Penalty_Match]],IF(tblGroupE[[#This Row],[Disciplinary_Match]],"Euro Qualifier Rank","Disciplinary Points ("&amp;tblGroupE[[#This Row],[Total_Diciplinary_Points]]&amp;")"),"Penalties"),"Wins ("&amp;tblGroupE[[#This Row],[Table_Won]]&amp;")"),""),"Head 2 Head ("&amp;tblGroupE[[#This Row],[Table_Head_to_Head_Rank]]&amp;")"),"")</calculatedColumnFormula>
    </tableColumn>
    <tableColumn id="30" xr3:uid="{A9997D5F-D831-4477-AC5A-C0B8931E88F9}" name="Is_Third_Qualify" dataDxfId="282">
      <calculatedColumnFormula>AND(tblGroupE[[#This Row],[Table_Position]]=3,COUNTIFS(tblGroupThirdPlace[Team_Number],tblGroupE[[#This Row],[Team_Number]],tblGroupThirdPlace[Table_Position],"&lt;5")&gt;0)</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E1EBE688-FA10-49B6-8EC4-BF9125F4EE4B}" name="tblMatchesE" displayName="tblMatchesE" ref="AH51:AQ57" totalsRowShown="0" headerRowDxfId="401" dataDxfId="400">
  <autoFilter ref="AH51:AQ57" xr:uid="{E1EBE688-FA10-49B6-8EC4-BF9125F4EE4B}"/>
  <tableColumns count="10">
    <tableColumn id="1" xr3:uid="{03D0D248-0D01-4163-B403-C1135BCEA93A}" name="Match_Code" dataDxfId="411"/>
    <tableColumn id="2" xr3:uid="{7588D178-2E72-41A8-93F4-92A875D8F4F1}" name="Date &amp; Time" dataDxfId="410">
      <calculatedColumnFormula>TEXT(INDEX(tblGroupMatch[],MATCH(tblMatchesE[[#This Row],[Match_Code]],tblGroupMatch[Match_Code],0),MATCH("Date &amp; Time",tblGroupMatch[#Headers],0)),"ddd dd mmm hh:mm")&amp;" ("&amp;INDEX(tblGroupMatch[],MATCH(tblMatchesE[[#This Row],[Match_Code]],tblGroupMatch[Match_Code],0),MATCH("TV_Station",tblGroupMatch[#Headers],0))&amp;")"</calculatedColumnFormula>
    </tableColumn>
    <tableColumn id="3" xr3:uid="{7729ADD7-2FD7-46A8-9CB8-56A38DF700DE}" name="Team A Name" dataDxfId="409">
      <calculatedColumnFormula>INDEX(tblGroupMatch[],MATCH(tblMatchesE[[#This Row],[Match_Code]],tblGroupMatch[Match_Code],0),MATCH("Team A Name",tblGroupMatch[#Headers],0))</calculatedColumnFormula>
    </tableColumn>
    <tableColumn id="4" xr3:uid="{CD492264-95D2-48DD-98DB-8CE5E5E62CCD}" name="Team A Goals" dataDxfId="408">
      <calculatedColumnFormula>INDEX(tblGroupMatch[],MATCH(tblMatchesE[[#This Row],[Match_Code]],tblGroupMatch[Match_Code],0),MATCH("Team A Goals",tblGroupMatch[#Headers],0))&amp;IF(AND(tblMatchesE[[#This Row],[Team A Penalties]]&gt;0,tblMatchesE[[#This Row],[Team B Penalties]]&gt;0)," (Pen "&amp;tblMatchesE[[#This Row],[Team A Penalties]]&amp;")","")</calculatedColumnFormula>
    </tableColumn>
    <tableColumn id="5" xr3:uid="{C98377DE-D0F3-437D-A492-E43D0D4E0D2F}" name="Team A Penalties" dataDxfId="407">
      <calculatedColumnFormula>INDEX(tblGroupMatch[],MATCH(tblMatchesE[[#This Row],[Match_Code]],tblGroupMatch[Match_Code],0),MATCH("Team A Penalties",tblGroupMatch[#Headers],0))</calculatedColumnFormula>
    </tableColumn>
    <tableColumn id="6" xr3:uid="{A73A4A12-E37B-4ADA-BCFA-871D4C7F2EAD}" name="Team B Penalties" dataDxfId="406">
      <calculatedColumnFormula>INDEX(tblGroupMatch[],MATCH(tblMatchesE[[#This Row],[Match_Code]],tblGroupMatch[Match_Code],0),MATCH("Team B Penalties",tblGroupMatch[#Headers],0))</calculatedColumnFormula>
    </tableColumn>
    <tableColumn id="7" xr3:uid="{7545C584-A13C-4A93-ACA4-F8BD70F04BE8}" name="Team B Goals" dataDxfId="405">
      <calculatedColumnFormula>IF(AND(tblMatchesE[[#This Row],[Team A Penalties]]&gt;0,tblMatchesE[[#This Row],[Team B Penalties]]&gt;0),"(Pen "&amp;tblMatchesE[[#This Row],[Team B Penalties]]&amp;") ","")&amp;INDEX(tblGroupMatch[],MATCH(tblMatchesE[[#This Row],[Match_Code]],tblGroupMatch[Match_Code],0),MATCH("Team B Goals",tblGroupMatch[#Headers],0))</calculatedColumnFormula>
    </tableColumn>
    <tableColumn id="8" xr3:uid="{280F2E19-25C9-4123-BDF2-62B702D04E08}" name="Team B Name" dataDxfId="404">
      <calculatedColumnFormula>INDEX(tblGroupMatch[],MATCH(tblMatchesE[[#This Row],[Match_Code]],tblGroupMatch[Match_Code],0),MATCH("Team B Name",tblGroupMatch[#Headers],0))</calculatedColumnFormula>
    </tableColumn>
    <tableColumn id="9" xr3:uid="{1DA1AB2F-635D-40A1-A5ED-4032AA3FD3BA}" name="Venue" dataDxfId="403">
      <calculatedColumnFormula>INDEX(tblGroupMatch[],MATCH(tblMatchesE[[#This Row],[Match_Code]],tblGroupMatch[Match_Code],0),MATCH("Venue",tblGroupMatch[#Headers],0))</calculatedColumnFormula>
    </tableColumn>
    <tableColumn id="10" xr3:uid="{6D3E7A56-C8EE-4DE9-A89E-197B6A6C68F9}" name="Mid Section" dataDxfId="402">
      <calculatedColumnFormula>" -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8B159B9-2D01-47D0-B9AB-31D1EA516C24}" name="tblGroupF" displayName="tblGroupF" ref="B62:AE66" totalsRowShown="0" headerRowDxfId="547" dataDxfId="546">
  <autoFilter ref="B62:AE66" xr:uid="{68B159B9-2D01-47D0-B9AB-31D1EA516C24}"/>
  <tableColumns count="30">
    <tableColumn id="1" xr3:uid="{45096125-80CD-461D-BBD4-2C72F43D7D98}" name="Table_Rank_Code" dataDxfId="545"/>
    <tableColumn id="2" xr3:uid="{0E19B560-B7A1-4DB2-9A65-A1A8BC956B7E}" name="Team_Number" dataDxfId="544">
      <calculatedColumnFormula>INDEX(tblGroupTotals[],MATCH(tblGroupF[[#This Row],[Table_Rank_Code]],tblGroupTotals[Table_Rank_Code],0),MATCH("Team_Number",tblGroupTotals[#Headers],0))</calculatedColumnFormula>
    </tableColumn>
    <tableColumn id="3" xr3:uid="{7256D0D3-A007-43DF-B17E-A4CF7FF74318}" name="Table_Position" dataDxfId="543"/>
    <tableColumn id="4" xr3:uid="{92719EBB-3899-4C7D-AFDC-64D5FDEFA680}" name="Table_Team" dataDxfId="542">
      <calculatedColumnFormula>INDEX(lkupTeam[],MATCH(tblGroupF[[#This Row],[Team_Number]],lkupTeam[Team_Number],0),MATCH("Team",lkupTeam[#Headers],0))</calculatedColumnFormula>
    </tableColumn>
    <tableColumn id="5" xr3:uid="{A4F6E8AC-C2AF-414B-8442-5DB1DEF4F275}" name="Table_Played" dataDxfId="541">
      <calculatedColumnFormula>INDEX(tblGroupTotals[],MATCH(tblGroupF[[#This Row],[Table_Rank_Code]],tblGroupTotals[Table_Rank_Code],0),MATCH("Total_Games",tblGroupTotals[#Headers],0))</calculatedColumnFormula>
    </tableColumn>
    <tableColumn id="6" xr3:uid="{2F41199E-7327-4729-A4B1-8778F2C46620}" name="Table_Won" dataDxfId="540">
      <calculatedColumnFormula>INDEX(tblGroupTotals[],MATCH(tblGroupF[[#This Row],[Table_Rank_Code]],tblGroupTotals[Table_Rank_Code],0),MATCH("Total_Wins",tblGroupTotals[#Headers],0))</calculatedColumnFormula>
    </tableColumn>
    <tableColumn id="7" xr3:uid="{1B0171F4-466C-4E1F-8166-49C4DF1F7D51}" name="Table_Drew" dataDxfId="539">
      <calculatedColumnFormula>INDEX(tblGroupTotals[],MATCH(tblGroupF[[#This Row],[Table_Rank_Code]],tblGroupTotals[Table_Rank_Code],0),MATCH("Total_Draws",tblGroupTotals[#Headers],0))</calculatedColumnFormula>
    </tableColumn>
    <tableColumn id="8" xr3:uid="{9ED349BB-8DCC-4ED8-8899-CD3086A26DFE}" name="Table_Lost" dataDxfId="538">
      <calculatedColumnFormula>INDEX(tblGroupTotals[],MATCH(tblGroupF[[#This Row],[Table_Rank_Code]],tblGroupTotals[Table_Rank_Code],0),MATCH("Total_Loses",tblGroupTotals[#Headers],0))</calculatedColumnFormula>
    </tableColumn>
    <tableColumn id="9" xr3:uid="{1B6CC64B-9D23-4218-A29D-95D1E0760269}" name="Table_For" dataDxfId="537">
      <calculatedColumnFormula>INDEX(tblGroupTotals[],MATCH(tblGroupF[[#This Row],[Table_Rank_Code]],tblGroupTotals[Table_Rank_Code],0),MATCH("Total_Goals_For",tblGroupTotals[#Headers],0))</calculatedColumnFormula>
    </tableColumn>
    <tableColumn id="10" xr3:uid="{576794C1-FE53-4DF7-A169-BC02DE58103E}" name="Table_Against" dataDxfId="536">
      <calculatedColumnFormula>INDEX(tblGroupTotals[],MATCH(tblGroupF[[#This Row],[Table_Rank_Code]],tblGroupTotals[Table_Rank_Code],0),MATCH("Total_Goals_Against",tblGroupTotals[#Headers],0))</calculatedColumnFormula>
    </tableColumn>
    <tableColumn id="11" xr3:uid="{A4F91D4E-09B4-465C-99BF-B2FB848584ED}" name="Table_Goal_Difference" dataDxfId="535">
      <calculatedColumnFormula>INDEX(tblGroupTotals[],MATCH(tblGroupF[[#This Row],[Table_Rank_Code]],tblGroupTotals[Table_Rank_Code],0),MATCH("Goal_Difference",tblGroupTotals[#Headers],0))</calculatedColumnFormula>
    </tableColumn>
    <tableColumn id="12" xr3:uid="{8BEED24A-63C7-4A63-BAAF-958EC4709ECE}" name="Table_Points" dataDxfId="534">
      <calculatedColumnFormula>INDEX(tblGroupTotals[],MATCH(tblGroupF[[#This Row],[Table_Rank_Code]],tblGroupTotals[Table_Rank_Code],0),MATCH("Total_Points",tblGroupTotals[#Headers],0))</calculatedColumnFormula>
    </tableColumn>
    <tableColumn id="13" xr3:uid="{943EFCD3-6E23-4898-B0E1-535877D40A86}" name="Table_Head_to_Head_Rank" dataDxfId="533">
      <calculatedColumnFormula>IF(INDEX(tblGroupTotals[],MATCH(tblGroupF[[#This Row],[Table_Rank_Code]],tblGroupTotals[Table_Rank_Code],0),MATCH("Group_Points_TieBreak_Rank_1",tblGroupTotals[#Headers],0))&lt;&gt;4,INDEX(tblGroupTotals[],MATCH(tblGroupF[[#This Row],[Table_Rank_Code]],tblGroupTotals[Table_Rank_Code],0),MATCH("Group_Points_TieBreak_Rank_1",tblGroupTotals[#Headers],0)),"")</calculatedColumnFormula>
    </tableColumn>
    <tableColumn id="14" xr3:uid="{6C63A92C-A213-40BF-B75D-9E9CA3F858C2}" name="Total_Diciplinary_Points" dataDxfId="532">
      <calculatedColumnFormula>INDEX(tblGroupTotals[],MATCH(tblGroupF[[#This Row],[Table_Rank_Code]],tblGroupTotals[Table_Rank_Code],0),MATCH("Total_Diciplinary_Points",tblGroupTotals[#Headers],0))</calculatedColumnFormula>
    </tableColumn>
    <tableColumn id="15" xr3:uid="{421104AA-45DF-457C-9EEE-D347B713566B}" name="Total_Group_Rank_Value" dataDxfId="531">
      <calculatedColumnFormula>INDEX(tblGroupTotals[],MATCH(tblGroupF[[#This Row],[Table_Rank_Code]],tblGroupTotals[Table_Rank_Code],0),MATCH("Total_Group_Rank_Value",tblGroupTotals[#Headers],0))</calculatedColumnFormula>
    </tableColumn>
    <tableColumn id="17" xr3:uid="{AA4F174F-C35F-4ECA-A4BE-B668A4AE4578}" name="Group_Point_Rank_Value" dataDxfId="530">
      <calculatedColumnFormula>LEFT(tblGroupF[[#This Row],[Total_Group_Rank_Value]],1)</calculatedColumnFormula>
    </tableColumn>
    <tableColumn id="16" xr3:uid="{C072296C-393E-4BDF-958A-02B55F96279F}" name="Head_To_Head_Rank_Value" dataDxfId="529">
      <calculatedColumnFormula>LEFT(tblGroupF[[#This Row],[Total_Group_Rank_Value]],3)</calculatedColumnFormula>
    </tableColumn>
    <tableColumn id="18" xr3:uid="{0A00852B-D59F-4051-92F9-9139A445629F}" name="Group_Goals_Rank_Value" dataDxfId="528">
      <calculatedColumnFormula>LEFT(tblGroupF[[#This Row],[Total_Group_Rank_Value]],5)</calculatedColumnFormula>
    </tableColumn>
    <tableColumn id="21" xr3:uid="{62CCED70-4840-4D9A-B415-32CE796D7DDB}" name="Wins_Rank_Value" dataDxfId="527">
      <calculatedColumnFormula>LEFT(tblGroupF[[#This Row],[Total_Group_Rank_Value]],6)</calculatedColumnFormula>
    </tableColumn>
    <tableColumn id="20" xr3:uid="{7B1C8EE9-FDA4-429E-B520-E42C5C8FB1B0}" name="Penalty_Rank_Value" dataDxfId="526">
      <calculatedColumnFormula>LEFT(tblGroupF[[#This Row],[Total_Group_Rank_Value]],7)</calculatedColumnFormula>
    </tableColumn>
    <tableColumn id="19" xr3:uid="{51114105-78E1-41D1-B13C-D57C4926C92B}" name="Diciplinary_Rank_Value" dataDxfId="525">
      <calculatedColumnFormula>LEFT(tblGroupF[[#This Row],[Total_Group_Rank_Value]],8)</calculatedColumnFormula>
    </tableColumn>
    <tableColumn id="22" xr3:uid="{E26D579B-B261-4141-8243-9AAE239CE2D2}" name="Points_Match" dataDxfId="524">
      <calculatedColumnFormula>COUNTIF(tblGroupF[Group_Point_Rank_Value],tblGroupF[[#This Row],[Group_Point_Rank_Value]])&gt;1</calculatedColumnFormula>
    </tableColumn>
    <tableColumn id="23" xr3:uid="{39FE13C6-0FDB-4D0B-B2C6-4AB810CD21D6}" name="H2H_Match" dataDxfId="523">
      <calculatedColumnFormula>COUNTIF(tblGroupF[Head_To_Head_Rank_Value],tblGroupF[[#This Row],[Head_To_Head_Rank_Value]])&gt;1</calculatedColumnFormula>
    </tableColumn>
    <tableColumn id="24" xr3:uid="{817E70FA-9E95-424D-B2A5-921695B266F8}" name="Goals_Match" dataDxfId="522">
      <calculatedColumnFormula>COUNTIF(tblGroupF[Group_Goals_Rank_Value],tblGroupF[[#This Row],[Group_Goals_Rank_Value]])&gt;1</calculatedColumnFormula>
    </tableColumn>
    <tableColumn id="25" xr3:uid="{4F94C904-C97C-4E36-BC67-88ED3F3E7646}" name="Wins_Match" dataDxfId="521">
      <calculatedColumnFormula>COUNTIF(tblGroupF[Wins_Rank_Value],tblGroupF[[#This Row],[Wins_Rank_Value]])&gt;1</calculatedColumnFormula>
    </tableColumn>
    <tableColumn id="26" xr3:uid="{83C78B66-6DF5-4129-B995-CBD405F89EFA}" name="Penalty_Match" dataDxfId="520">
      <calculatedColumnFormula>COUNTIF(tblGroupF[Penalty_Rank_Value],tblGroupF[[#This Row],[Penalty_Rank_Value]])&gt;1</calculatedColumnFormula>
    </tableColumn>
    <tableColumn id="27" xr3:uid="{49558DB0-AF73-49D0-9516-C24ADE9545E7}" name="Disciplinary_Match" dataDxfId="519">
      <calculatedColumnFormula>COUNTIF(tblGroupF[Diciplinary_Rank_Value],tblGroupF[[#This Row],[Diciplinary_Rank_Value]])&gt;1</calculatedColumnFormula>
    </tableColumn>
    <tableColumn id="28" xr3:uid="{F9E4891F-88E4-449A-9F2D-0E7D919A09B8}" name="Qualifier_Match" dataDxfId="518">
      <calculatedColumnFormula>COUNTIF(tblGroupF[Total_Group_Rank_Value],tblGroupF[[#This Row],[Total_Group_Rank_Value]])&gt;1</calculatedColumnFormula>
    </tableColumn>
    <tableColumn id="29" xr3:uid="{409A03B8-DA18-4487-A38B-8F45A2F949C0}" name="Qualify_Note" dataDxfId="517">
      <calculatedColumnFormula>IF(tblGroupF[[#This Row],[Points_Match]],IF(tblGroupF[[#This Row],[H2H_Match]],IF(tblGroupF[[#This Row],[Goals_Match]],IF(tblGroupF[[#This Row],[Wins_Match]],IF(tblGroupF[[#This Row],[Penalty_Match]],IF(tblGroupF[[#This Row],[Disciplinary_Match]],"Euro Qualifier Rank","Disciplinary Points ("&amp;tblGroupF[[#This Row],[Total_Diciplinary_Points]]&amp;")"),"Penalties"),"Wins ("&amp;tblGroupF[[#This Row],[Table_Won]]&amp;")"),""),"Head 2 Head ("&amp;tblGroupF[[#This Row],[Table_Head_to_Head_Rank]]&amp;")"),"")</calculatedColumnFormula>
    </tableColumn>
    <tableColumn id="30" xr3:uid="{9F3214D5-3959-48C7-BEA2-3CA2BBFE3A37}" name="Is_Third_Qualify" dataDxfId="281">
      <calculatedColumnFormula>AND(tblGroupF[[#This Row],[Table_Position]]=3,COUNTIFS(tblGroupThirdPlace[Team_Number],tblGroupF[[#This Row],[Team_Number]],tblGroupThirdPlace[Table_Position],"&lt;5")&gt;0)</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B4D38C7F-984E-4951-BB11-EB230BDEA248}" name="tblMatchesF" displayName="tblMatchesF" ref="AH62:AQ68" totalsRowShown="0" headerRowDxfId="389" dataDxfId="388">
  <autoFilter ref="AH62:AQ68" xr:uid="{B4D38C7F-984E-4951-BB11-EB230BDEA248}"/>
  <tableColumns count="10">
    <tableColumn id="1" xr3:uid="{F0E74B38-8ADF-435F-86EB-B7C52EDA39B2}" name="Match_Code" dataDxfId="399"/>
    <tableColumn id="2" xr3:uid="{502365CD-51B3-4AF6-B438-53D7986E1EDF}" name="Date &amp; Time" dataDxfId="398">
      <calculatedColumnFormula>TEXT(INDEX(tblGroupMatch[],MATCH(tblMatchesF[[#This Row],[Match_Code]],tblGroupMatch[Match_Code],0),MATCH("Date &amp; Time",tblGroupMatch[#Headers],0)),"ddd dd mmm hh:mm")&amp;" ("&amp;INDEX(tblGroupMatch[],MATCH(tblMatchesF[[#This Row],[Match_Code]],tblGroupMatch[Match_Code],0),MATCH("TV_Station",tblGroupMatch[#Headers],0))&amp;")"</calculatedColumnFormula>
    </tableColumn>
    <tableColumn id="3" xr3:uid="{3F8BF862-CC7E-442F-AD04-1BD806C6C826}" name="Team A Name" dataDxfId="397">
      <calculatedColumnFormula>INDEX(tblGroupMatch[],MATCH(tblMatchesF[[#This Row],[Match_Code]],tblGroupMatch[Match_Code],0),MATCH("Team A Name",tblGroupMatch[#Headers],0))</calculatedColumnFormula>
    </tableColumn>
    <tableColumn id="4" xr3:uid="{7D751E9B-51AB-4E36-9211-0EB5ECFBD356}" name="Team A Goals" dataDxfId="396">
      <calculatedColumnFormula>INDEX(tblGroupMatch[],MATCH(tblMatchesF[[#This Row],[Match_Code]],tblGroupMatch[Match_Code],0),MATCH("Team A Goals",tblGroupMatch[#Headers],0))&amp;IF(AND(tblMatchesF[[#This Row],[Team A Penalties]]&gt;0,tblMatchesF[[#This Row],[Team B Penalties]]&gt;0)," (Pen "&amp;tblMatchesF[[#This Row],[Team A Penalties]]&amp;")","")</calculatedColumnFormula>
    </tableColumn>
    <tableColumn id="5" xr3:uid="{D7E0A6BD-52AA-4474-8E70-B97C74D47725}" name="Team A Penalties" dataDxfId="395">
      <calculatedColumnFormula>INDEX(tblGroupMatch[],MATCH(tblMatchesF[[#This Row],[Match_Code]],tblGroupMatch[Match_Code],0),MATCH("Team A Penalties",tblGroupMatch[#Headers],0))</calculatedColumnFormula>
    </tableColumn>
    <tableColumn id="6" xr3:uid="{27C2D618-6770-44CA-BCC6-9D176EC8B6E1}" name="Team B Penalties" dataDxfId="394">
      <calculatedColumnFormula>INDEX(tblGroupMatch[],MATCH(tblMatchesF[[#This Row],[Match_Code]],tblGroupMatch[Match_Code],0),MATCH("Team B Penalties",tblGroupMatch[#Headers],0))</calculatedColumnFormula>
    </tableColumn>
    <tableColumn id="7" xr3:uid="{0875B2A1-72C5-4815-A427-B1E723EAFEC7}" name="Team B Goals" dataDxfId="393">
      <calculatedColumnFormula>IF(AND(tblMatchesF[[#This Row],[Team A Penalties]]&gt;0,tblMatchesF[[#This Row],[Team B Penalties]]&gt;0),"(Pen "&amp;tblMatchesF[[#This Row],[Team B Penalties]]&amp;") ","")&amp;INDEX(tblGroupMatch[],MATCH(tblMatchesF[[#This Row],[Match_Code]],tblGroupMatch[Match_Code],0),MATCH("Team B Goals",tblGroupMatch[#Headers],0))</calculatedColumnFormula>
    </tableColumn>
    <tableColumn id="8" xr3:uid="{3214E31A-6AC7-4DBB-98BF-EF6CB11921B2}" name="Team B Name" dataDxfId="392">
      <calculatedColumnFormula>INDEX(tblGroupMatch[],MATCH(tblMatchesF[[#This Row],[Match_Code]],tblGroupMatch[Match_Code],0),MATCH("Team B Name",tblGroupMatch[#Headers],0))</calculatedColumnFormula>
    </tableColumn>
    <tableColumn id="9" xr3:uid="{DDB7BD9F-067F-449C-A6D3-CEDF9B99D53F}" name="Venue" dataDxfId="391">
      <calculatedColumnFormula>INDEX(tblGroupMatch[],MATCH(tblMatchesF[[#This Row],[Match_Code]],tblGroupMatch[Match_Code],0),MATCH("Venue",tblGroupMatch[#Headers],0))</calculatedColumnFormula>
    </tableColumn>
    <tableColumn id="10" xr3:uid="{F706FE6A-A92A-4C2D-8FD0-1602547158FD}" name="Mid Section" dataDxfId="390">
      <calculatedColumnFormula>" - "</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745F5644-E35E-4BA5-B36B-4C00EE46AAA0}" name="tblGroupC" displayName="tblGroupC" ref="B29:AE33" totalsRowShown="0" headerRowDxfId="516" dataDxfId="515">
  <autoFilter ref="B29:AE33" xr:uid="{745F5644-E35E-4BA5-B36B-4C00EE46AAA0}"/>
  <tableColumns count="30">
    <tableColumn id="1" xr3:uid="{CE92F07B-6F28-43E6-9B93-A4B473D79D18}" name="Table_Rank_Code" dataDxfId="514"/>
    <tableColumn id="2" xr3:uid="{117DF9BB-CAB9-40C0-80A4-C5225D6CE1FE}" name="Team_Number" dataDxfId="513">
      <calculatedColumnFormula>INDEX(tblGroupTotals[],MATCH(tblGroupC[[#This Row],[Table_Rank_Code]],tblGroupTotals[Table_Rank_Code],0),MATCH("Team_Number",tblGroupTotals[#Headers],0))</calculatedColumnFormula>
    </tableColumn>
    <tableColumn id="3" xr3:uid="{8C7BDF5B-9850-40AA-8421-D2A15FE70246}" name="Table_Position" dataDxfId="512"/>
    <tableColumn id="4" xr3:uid="{E7AB2A80-8FCF-449F-AE6A-C5FA738EBB4B}" name="Table_Team" dataDxfId="511">
      <calculatedColumnFormula>INDEX(lkupTeam[],MATCH(tblGroupC[[#This Row],[Team_Number]],lkupTeam[Team_Number],0),MATCH("Team",lkupTeam[#Headers],0))</calculatedColumnFormula>
    </tableColumn>
    <tableColumn id="5" xr3:uid="{AAF9057A-E4FB-43B7-B60B-0DDC012BB024}" name="Table_Played" dataDxfId="510">
      <calculatedColumnFormula>INDEX(tblGroupTotals[],MATCH(tblGroupC[[#This Row],[Table_Rank_Code]],tblGroupTotals[Table_Rank_Code],0),MATCH("Total_Games",tblGroupTotals[#Headers],0))</calculatedColumnFormula>
    </tableColumn>
    <tableColumn id="6" xr3:uid="{8BAA4E6C-4E1D-4631-AAC6-DEA67A9805C1}" name="Table_Won" dataDxfId="509">
      <calculatedColumnFormula>INDEX(tblGroupTotals[],MATCH(tblGroupC[[#This Row],[Table_Rank_Code]],tblGroupTotals[Table_Rank_Code],0),MATCH("Total_Wins",tblGroupTotals[#Headers],0))</calculatedColumnFormula>
    </tableColumn>
    <tableColumn id="7" xr3:uid="{A9296CCB-1B0E-409E-9ABC-3D96141BB8CD}" name="Table_Drew" dataDxfId="508">
      <calculatedColumnFormula>INDEX(tblGroupTotals[],MATCH(tblGroupC[[#This Row],[Table_Rank_Code]],tblGroupTotals[Table_Rank_Code],0),MATCH("Total_Draws",tblGroupTotals[#Headers],0))</calculatedColumnFormula>
    </tableColumn>
    <tableColumn id="8" xr3:uid="{8F591B6F-3200-4AA5-9910-038E4B983D37}" name="Table_Lost" dataDxfId="507">
      <calculatedColumnFormula>INDEX(tblGroupTotals[],MATCH(tblGroupC[[#This Row],[Table_Rank_Code]],tblGroupTotals[Table_Rank_Code],0),MATCH("Total_Loses",tblGroupTotals[#Headers],0))</calculatedColumnFormula>
    </tableColumn>
    <tableColumn id="9" xr3:uid="{8AA970E2-73AE-4980-A75D-D5186A290B53}" name="Table_For" dataDxfId="506">
      <calculatedColumnFormula>INDEX(tblGroupTotals[],MATCH(tblGroupC[[#This Row],[Table_Rank_Code]],tblGroupTotals[Table_Rank_Code],0),MATCH("Total_Goals_For",tblGroupTotals[#Headers],0))</calculatedColumnFormula>
    </tableColumn>
    <tableColumn id="10" xr3:uid="{63364B30-2100-4624-B79B-4D1542E3267A}" name="Table_Against" dataDxfId="505">
      <calculatedColumnFormula>INDEX(tblGroupTotals[],MATCH(tblGroupC[[#This Row],[Table_Rank_Code]],tblGroupTotals[Table_Rank_Code],0),MATCH("Total_Goals_Against",tblGroupTotals[#Headers],0))</calculatedColumnFormula>
    </tableColumn>
    <tableColumn id="11" xr3:uid="{49B33DE5-41B2-47C4-8190-C635A3F19AEB}" name="Table_Goal_Difference" dataDxfId="504">
      <calculatedColumnFormula>INDEX(tblGroupTotals[],MATCH(tblGroupC[[#This Row],[Table_Rank_Code]],tblGroupTotals[Table_Rank_Code],0),MATCH("Goal_Difference",tblGroupTotals[#Headers],0))</calculatedColumnFormula>
    </tableColumn>
    <tableColumn id="12" xr3:uid="{0D30F485-F3DE-4A44-9A7D-6F3962B243F6}" name="Table_Points" dataDxfId="503">
      <calculatedColumnFormula>INDEX(tblGroupTotals[],MATCH(tblGroupC[[#This Row],[Table_Rank_Code]],tblGroupTotals[Table_Rank_Code],0),MATCH("Total_Points",tblGroupTotals[#Headers],0))</calculatedColumnFormula>
    </tableColumn>
    <tableColumn id="13" xr3:uid="{64066F19-4E3B-4B94-9E46-5DFBE655A23B}" name="Table_Head_to_Head_Rank" dataDxfId="502">
      <calculatedColumnFormula>IF(INDEX(tblGroupTotals[],MATCH(tblGroupC[[#This Row],[Table_Rank_Code]],tblGroupTotals[Table_Rank_Code],0),MATCH("Group_Points_TieBreak_Rank_1",tblGroupTotals[#Headers],0))&lt;&gt;4,INDEX(tblGroupTotals[],MATCH(tblGroupC[[#This Row],[Table_Rank_Code]],tblGroupTotals[Table_Rank_Code],0),MATCH("Group_Points_TieBreak_Rank_1",tblGroupTotals[#Headers],0)),"")</calculatedColumnFormula>
    </tableColumn>
    <tableColumn id="14" xr3:uid="{94BDA228-28CC-4A2B-898C-1F088CB6DCC5}" name="Total_Diciplinary_Points" dataDxfId="501">
      <calculatedColumnFormula>INDEX(tblGroupTotals[],MATCH(tblGroupC[[#This Row],[Table_Rank_Code]],tblGroupTotals[Table_Rank_Code],0),MATCH("Total_Diciplinary_Points",tblGroupTotals[#Headers],0))</calculatedColumnFormula>
    </tableColumn>
    <tableColumn id="15" xr3:uid="{8FA6AB10-924C-4C43-9BDD-C45C003212A7}" name="Total_Group_Rank_Value" dataDxfId="500">
      <calculatedColumnFormula>INDEX(tblGroupTotals[],MATCH(tblGroupC[[#This Row],[Table_Rank_Code]],tblGroupTotals[Table_Rank_Code],0),MATCH("Total_Group_Rank_Value",tblGroupTotals[#Headers],0))</calculatedColumnFormula>
    </tableColumn>
    <tableColumn id="17" xr3:uid="{5E9A2F54-65FF-4056-BED8-2DDFBA54344A}" name="Group_Point_Rank_Value" dataDxfId="499">
      <calculatedColumnFormula>LEFT(tblGroupC[[#This Row],[Total_Group_Rank_Value]],1)</calculatedColumnFormula>
    </tableColumn>
    <tableColumn id="16" xr3:uid="{A9879F6F-EBDF-42E7-83AF-F8691109755D}" name="Head_To_Head_Rank_Value" dataDxfId="498">
      <calculatedColumnFormula>LEFT(tblGroupC[[#This Row],[Total_Group_Rank_Value]],3)</calculatedColumnFormula>
    </tableColumn>
    <tableColumn id="18" xr3:uid="{FC396C00-5F74-4023-94E0-CE24ED001FA3}" name="Group_Goals_Rank_Value" dataDxfId="497">
      <calculatedColumnFormula>LEFT(tblGroupC[[#This Row],[Total_Group_Rank_Value]],5)</calculatedColumnFormula>
    </tableColumn>
    <tableColumn id="21" xr3:uid="{6C1EF618-8F5A-4AF4-839A-0C41E92C78C8}" name="Wins_Rank_Value" dataDxfId="496">
      <calculatedColumnFormula>LEFT(tblGroupC[[#This Row],[Total_Group_Rank_Value]],6)</calculatedColumnFormula>
    </tableColumn>
    <tableColumn id="20" xr3:uid="{AE6495BB-8BE1-435E-B4C2-027049A84AC4}" name="Penalty_Rank_Value" dataDxfId="495">
      <calculatedColumnFormula>LEFT(tblGroupC[[#This Row],[Total_Group_Rank_Value]],7)</calculatedColumnFormula>
    </tableColumn>
    <tableColumn id="19" xr3:uid="{2DCB6300-E504-4992-B011-60D839B86CA5}" name="Diciplinary_Rank_Value" dataDxfId="494">
      <calculatedColumnFormula>LEFT(tblGroupC[[#This Row],[Total_Group_Rank_Value]],8)</calculatedColumnFormula>
    </tableColumn>
    <tableColumn id="22" xr3:uid="{73630C69-E466-4CFF-98AC-3DA301B9FA5C}" name="Points_Match" dataDxfId="493">
      <calculatedColumnFormula>COUNTIF(tblGroupC[Group_Point_Rank_Value],tblGroupC[[#This Row],[Group_Point_Rank_Value]])&gt;1</calculatedColumnFormula>
    </tableColumn>
    <tableColumn id="23" xr3:uid="{AA7636D0-D591-4C15-B224-8A52B378ED0A}" name="H2H_Match" dataDxfId="492">
      <calculatedColumnFormula>COUNTIF(tblGroupC[Head_To_Head_Rank_Value],tblGroupC[[#This Row],[Head_To_Head_Rank_Value]])&gt;1</calculatedColumnFormula>
    </tableColumn>
    <tableColumn id="24" xr3:uid="{AD43813C-8253-4A9B-89AC-769FF16C572C}" name="Goals_Match" dataDxfId="491">
      <calculatedColumnFormula>COUNTIF(tblGroupC[Group_Goals_Rank_Value],tblGroupC[[#This Row],[Group_Goals_Rank_Value]])&gt;1</calculatedColumnFormula>
    </tableColumn>
    <tableColumn id="25" xr3:uid="{9F7CA3EC-7E8E-4D0B-AD39-4A0749A795F6}" name="Wins_Match" dataDxfId="490">
      <calculatedColumnFormula>COUNTIF(tblGroupC[Wins_Rank_Value],tblGroupC[[#This Row],[Wins_Rank_Value]])&gt;1</calculatedColumnFormula>
    </tableColumn>
    <tableColumn id="26" xr3:uid="{FF888BEB-B31C-4278-B25A-F7B96D78B491}" name="Penalty_Match" dataDxfId="489">
      <calculatedColumnFormula>COUNTIF(tblGroupC[Penalty_Rank_Value],tblGroupC[[#This Row],[Penalty_Rank_Value]])&gt;1</calculatedColumnFormula>
    </tableColumn>
    <tableColumn id="27" xr3:uid="{EEBEED09-8572-4B85-90FE-825EE4E812AA}" name="Disciplinary_Match" dataDxfId="488">
      <calculatedColumnFormula>COUNTIF(tblGroupC[Diciplinary_Rank_Value],tblGroupC[[#This Row],[Diciplinary_Rank_Value]])&gt;1</calculatedColumnFormula>
    </tableColumn>
    <tableColumn id="28" xr3:uid="{BA5FA44B-326D-48A6-BD29-5BECD631BCFC}" name="Qualifier_Match" dataDxfId="487">
      <calculatedColumnFormula>COUNTIF(tblGroupC[Total_Group_Rank_Value],tblGroupC[[#This Row],[Total_Group_Rank_Value]])&gt;1</calculatedColumnFormula>
    </tableColumn>
    <tableColumn id="29" xr3:uid="{329E15B2-0379-453E-890A-8C7AAD392D84}" name="Qualify_Note" dataDxfId="486">
      <calculatedColumnFormula>IF(tblGroupC[[#This Row],[Points_Match]],IF(tblGroupC[[#This Row],[H2H_Match]],IF(tblGroupC[[#This Row],[Goals_Match]],IF(tblGroupC[[#This Row],[Wins_Match]],IF(tblGroupC[[#This Row],[Penalty_Match]],IF(tblGroupC[[#This Row],[Disciplinary_Match]],"Euro Qualifier Rank","Disciplinary Points ("&amp;tblGroupC[[#This Row],[Total_Diciplinary_Points]]&amp;")"),"Penalties"),"Wins ("&amp;tblGroupC[[#This Row],[Table_Won]]&amp;")"),""),"Head 2 Head ("&amp;tblGroupC[[#This Row],[Table_Head_to_Head_Rank]]&amp;")"),"")</calculatedColumnFormula>
    </tableColumn>
    <tableColumn id="30" xr3:uid="{F9F24F4B-BA3B-4B32-90B2-64C03EB42126}" name="Is_Third_Qualify" dataDxfId="284">
      <calculatedColumnFormula>AND(tblGroupC[[#This Row],[Table_Position]]=3,COUNTIFS(tblGroupThirdPlace[Team_Number],tblGroupC[[#This Row],[Team_Number]],tblGroupThirdPlace[Table_Position],"&lt;5")&gt;0)</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6122CB5-D90A-497B-9FC8-3AF510CAA5C4}" name="tblMatchesC" displayName="tblMatchesC" ref="AH29:AQ35" totalsRowShown="0" headerRowDxfId="377" dataDxfId="376">
  <autoFilter ref="AH29:AQ35" xr:uid="{96122CB5-D90A-497B-9FC8-3AF510CAA5C4}"/>
  <tableColumns count="10">
    <tableColumn id="1" xr3:uid="{7EAFAE12-037C-47EB-992F-E4F15921A9C6}" name="Match_Code" dataDxfId="387"/>
    <tableColumn id="2" xr3:uid="{7FFE235F-5242-4014-A0C7-70AD24267D94}" name="Date &amp; Time" dataDxfId="386">
      <calculatedColumnFormula>TEXT(INDEX(tblGroupMatch[],MATCH(tblMatchesC[[#This Row],[Match_Code]],tblGroupMatch[Match_Code],0),MATCH("Date &amp; Time",tblGroupMatch[#Headers],0)),"ddd dd mmm hh:mm")&amp;" ("&amp;INDEX(tblGroupMatch[],MATCH(tblMatchesC[[#This Row],[Match_Code]],tblGroupMatch[Match_Code],0),MATCH("TV_Station",tblGroupMatch[#Headers],0))&amp;")"</calculatedColumnFormula>
    </tableColumn>
    <tableColumn id="3" xr3:uid="{8C78D315-B091-4DEB-83D7-7CA7A5167183}" name="Team A Name" dataDxfId="385">
      <calculatedColumnFormula>INDEX(tblGroupMatch[],MATCH(tblMatchesC[[#This Row],[Match_Code]],tblGroupMatch[Match_Code],0),MATCH("Team A Name",tblGroupMatch[#Headers],0))</calculatedColumnFormula>
    </tableColumn>
    <tableColumn id="4" xr3:uid="{00631638-B3C8-4288-9190-9C8C03416D29}" name="Team A Goals" dataDxfId="384">
      <calculatedColumnFormula>INDEX(tblGroupMatch[],MATCH(tblMatchesC[[#This Row],[Match_Code]],tblGroupMatch[Match_Code],0),MATCH("Team A Goals",tblGroupMatch[#Headers],0))&amp;IF(AND(tblMatchesC[[#This Row],[Team A Penalties]]&gt;0,tblMatchesC[[#This Row],[Team B Penalties]]&gt;0)," (Pen "&amp;tblMatchesC[[#This Row],[Team A Penalties]]&amp;")","")</calculatedColumnFormula>
    </tableColumn>
    <tableColumn id="5" xr3:uid="{199E94BE-63FA-4923-9B40-C12075EB3C4F}" name="Team A Penalties" dataDxfId="383">
      <calculatedColumnFormula>INDEX(tblGroupMatch[],MATCH(tblMatchesC[[#This Row],[Match_Code]],tblGroupMatch[Match_Code],0),MATCH("Team A Penalties",tblGroupMatch[#Headers],0))</calculatedColumnFormula>
    </tableColumn>
    <tableColumn id="6" xr3:uid="{826722C9-0ACA-41D8-98D6-2F7B65D2290F}" name="Team B Penalties" dataDxfId="382">
      <calculatedColumnFormula>INDEX(tblGroupMatch[],MATCH(tblMatchesC[[#This Row],[Match_Code]],tblGroupMatch[Match_Code],0),MATCH("Team B Penalties",tblGroupMatch[#Headers],0))</calculatedColumnFormula>
    </tableColumn>
    <tableColumn id="7" xr3:uid="{240412F5-1132-4D0A-8517-689B217137F8}" name="Team B Goals" dataDxfId="381">
      <calculatedColumnFormula>IF(AND(tblMatchesC[[#This Row],[Team A Penalties]]&gt;0,tblMatchesC[[#This Row],[Team B Penalties]]&gt;0),"(Pen "&amp;tblMatchesC[[#This Row],[Team B Penalties]]&amp;") ","")&amp;INDEX(tblGroupMatch[],MATCH(tblMatchesC[[#This Row],[Match_Code]],tblGroupMatch[Match_Code],0),MATCH("Team B Goals",tblGroupMatch[#Headers],0))</calculatedColumnFormula>
    </tableColumn>
    <tableColumn id="8" xr3:uid="{390C762F-C811-4A42-BCAF-6638F92D480E}" name="Team B Name" dataDxfId="380">
      <calculatedColumnFormula>INDEX(tblGroupMatch[],MATCH(tblMatchesC[[#This Row],[Match_Code]],tblGroupMatch[Match_Code],0),MATCH("Team B Name",tblGroupMatch[#Headers],0))</calculatedColumnFormula>
    </tableColumn>
    <tableColumn id="9" xr3:uid="{F5453C5A-BBD3-48D9-A6C3-ED9A63599862}" name="Venue" dataDxfId="379">
      <calculatedColumnFormula>INDEX(tblGroupMatch[],MATCH(tblMatchesC[[#This Row],[Match_Code]],tblGroupMatch[Match_Code],0),MATCH("Venue",tblGroupMatch[#Headers],0))</calculatedColumnFormula>
    </tableColumn>
    <tableColumn id="10" xr3:uid="{F4C49106-4C85-4A85-8C62-82FC53ADA7FD}" name="Mid Section" dataDxfId="378">
      <calculatedColumnFormula>" - "</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8F441BD1-B9E7-4D80-B1A8-9AE1227BD2C5}" name="tblGroupB" displayName="tblGroupB" ref="B18:AE22" totalsRowShown="0" headerRowDxfId="485" dataDxfId="484">
  <autoFilter ref="B18:AE22" xr:uid="{8F441BD1-B9E7-4D80-B1A8-9AE1227BD2C5}"/>
  <tableColumns count="30">
    <tableColumn id="1" xr3:uid="{AB03523F-24E3-4C1B-BBBA-1BA54834C609}" name="Table_Rank_Code" dataDxfId="483"/>
    <tableColumn id="2" xr3:uid="{8E0B7EA0-A4C7-4174-B69C-27151CFA9E5C}" name="Team_Number" dataDxfId="482">
      <calculatedColumnFormula>INDEX(tblGroupTotals[],MATCH(tblGroupB[[#This Row],[Table_Rank_Code]],tblGroupTotals[Table_Rank_Code],0),MATCH("Team_Number",tblGroupTotals[#Headers],0))</calculatedColumnFormula>
    </tableColumn>
    <tableColumn id="3" xr3:uid="{1926AD03-5792-4ADE-9DDE-8E09C0A42950}" name="Table_Position" dataDxfId="481"/>
    <tableColumn id="4" xr3:uid="{F9FFC68B-EC37-436B-BE8F-A1B80AEDE4D8}" name="Table_Team" dataDxfId="480">
      <calculatedColumnFormula>INDEX(lkupTeam[],MATCH(tblGroupB[[#This Row],[Team_Number]],lkupTeam[Team_Number],0),MATCH("Team",lkupTeam[#Headers],0))</calculatedColumnFormula>
    </tableColumn>
    <tableColumn id="5" xr3:uid="{B060D328-4A0E-4316-BFCE-E0C4823BBB91}" name="Table_Played" dataDxfId="479">
      <calculatedColumnFormula>INDEX(tblGroupTotals[],MATCH(tblGroupB[[#This Row],[Table_Rank_Code]],tblGroupTotals[Table_Rank_Code],0),MATCH("Total_Games",tblGroupTotals[#Headers],0))</calculatedColumnFormula>
    </tableColumn>
    <tableColumn id="6" xr3:uid="{183E0725-5E84-4181-B600-2851A9EB122B}" name="Table_Won" dataDxfId="478">
      <calculatedColumnFormula>INDEX(tblGroupTotals[],MATCH(tblGroupB[[#This Row],[Table_Rank_Code]],tblGroupTotals[Table_Rank_Code],0),MATCH("Total_Wins",tblGroupTotals[#Headers],0))</calculatedColumnFormula>
    </tableColumn>
    <tableColumn id="7" xr3:uid="{A1BCBED7-4B9D-423E-8D75-EDB93D88BE26}" name="Table_Drew" dataDxfId="477">
      <calculatedColumnFormula>INDEX(tblGroupTotals[],MATCH(tblGroupB[[#This Row],[Table_Rank_Code]],tblGroupTotals[Table_Rank_Code],0),MATCH("Total_Draws",tblGroupTotals[#Headers],0))</calculatedColumnFormula>
    </tableColumn>
    <tableColumn id="8" xr3:uid="{79F15F8D-9906-4101-B94C-0473FE81D50D}" name="Table_Lost" dataDxfId="476">
      <calculatedColumnFormula>INDEX(tblGroupTotals[],MATCH(tblGroupB[[#This Row],[Table_Rank_Code]],tblGroupTotals[Table_Rank_Code],0),MATCH("Total_Loses",tblGroupTotals[#Headers],0))</calculatedColumnFormula>
    </tableColumn>
    <tableColumn id="9" xr3:uid="{0F987502-F20D-4222-8975-2E355AC00E07}" name="Table_For" dataDxfId="475">
      <calculatedColumnFormula>INDEX(tblGroupTotals[],MATCH(tblGroupB[[#This Row],[Table_Rank_Code]],tblGroupTotals[Table_Rank_Code],0),MATCH("Total_Goals_For",tblGroupTotals[#Headers],0))</calculatedColumnFormula>
    </tableColumn>
    <tableColumn id="10" xr3:uid="{FD0ACC16-6686-4A3B-B1C1-CBA5F7A588BA}" name="Table_Against" dataDxfId="474">
      <calculatedColumnFormula>INDEX(tblGroupTotals[],MATCH(tblGroupB[[#This Row],[Table_Rank_Code]],tblGroupTotals[Table_Rank_Code],0),MATCH("Total_Goals_Against",tblGroupTotals[#Headers],0))</calculatedColumnFormula>
    </tableColumn>
    <tableColumn id="11" xr3:uid="{7B54D5D8-F60B-46ED-9E3C-4C436A2EFC64}" name="Table_Goal_Difference" dataDxfId="473">
      <calculatedColumnFormula>INDEX(tblGroupTotals[],MATCH(tblGroupB[[#This Row],[Table_Rank_Code]],tblGroupTotals[Table_Rank_Code],0),MATCH("Goal_Difference",tblGroupTotals[#Headers],0))</calculatedColumnFormula>
    </tableColumn>
    <tableColumn id="12" xr3:uid="{DF486FE9-CC9D-4014-A0F5-9D332A7EC87E}" name="Table_Points" dataDxfId="472">
      <calculatedColumnFormula>INDEX(tblGroupTotals[],MATCH(tblGroupB[[#This Row],[Table_Rank_Code]],tblGroupTotals[Table_Rank_Code],0),MATCH("Total_Points",tblGroupTotals[#Headers],0))</calculatedColumnFormula>
    </tableColumn>
    <tableColumn id="13" xr3:uid="{D36D40AA-BC68-492B-AD23-705ADAD642E3}" name="Table_Head_to_Head_Rank" dataDxfId="471">
      <calculatedColumnFormula>IF(INDEX(tblGroupTotals[],MATCH(tblGroupB[[#This Row],[Table_Rank_Code]],tblGroupTotals[Table_Rank_Code],0),MATCH("Group_Points_TieBreak_Rank_1",tblGroupTotals[#Headers],0))&lt;&gt;4,INDEX(tblGroupTotals[],MATCH(tblGroupB[[#This Row],[Table_Rank_Code]],tblGroupTotals[Table_Rank_Code],0),MATCH("Group_Points_TieBreak_Rank_1",tblGroupTotals[#Headers],0)),"")</calculatedColumnFormula>
    </tableColumn>
    <tableColumn id="14" xr3:uid="{BB1EFBAC-3338-4558-851B-F39EC0837053}" name="Total_Diciplinary_Points" dataDxfId="470">
      <calculatedColumnFormula>INDEX(tblGroupTotals[],MATCH(tblGroupB[[#This Row],[Table_Rank_Code]],tblGroupTotals[Table_Rank_Code],0),MATCH("Total_Diciplinary_Points",tblGroupTotals[#Headers],0))</calculatedColumnFormula>
    </tableColumn>
    <tableColumn id="15" xr3:uid="{6A87B80B-A292-460A-9A86-0787EAEB96BF}" name="Total_Group_Rank_Value" dataDxfId="469">
      <calculatedColumnFormula>INDEX(tblGroupTotals[],MATCH(tblGroupB[[#This Row],[Table_Rank_Code]],tblGroupTotals[Table_Rank_Code],0),MATCH("Total_Group_Rank_Value",tblGroupTotals[#Headers],0))</calculatedColumnFormula>
    </tableColumn>
    <tableColumn id="17" xr3:uid="{17B88548-23D3-4DA2-AB17-60B42B797762}" name="Group_Point_Rank_Value" dataDxfId="468">
      <calculatedColumnFormula>LEFT(tblGroupB[[#This Row],[Total_Group_Rank_Value]],1)</calculatedColumnFormula>
    </tableColumn>
    <tableColumn id="16" xr3:uid="{1AB8C6ED-5E94-4351-B3B1-0919631C5E51}" name="Head_To_Head_Rank_Value" dataDxfId="467">
      <calculatedColumnFormula>LEFT(tblGroupB[[#This Row],[Total_Group_Rank_Value]],3)</calculatedColumnFormula>
    </tableColumn>
    <tableColumn id="18" xr3:uid="{2EC5C436-7162-4B7D-878B-858E4C816A95}" name="Group_Goals_Rank_Value" dataDxfId="466">
      <calculatedColumnFormula>LEFT(tblGroupB[[#This Row],[Total_Group_Rank_Value]],5)</calculatedColumnFormula>
    </tableColumn>
    <tableColumn id="21" xr3:uid="{A65992A5-4B9E-497B-8FA3-7CA08BFD3CEB}" name="Wins_Rank_Value" dataDxfId="465">
      <calculatedColumnFormula>LEFT(tblGroupB[[#This Row],[Total_Group_Rank_Value]],6)</calculatedColumnFormula>
    </tableColumn>
    <tableColumn id="20" xr3:uid="{1AB5CB49-E990-4C4B-96F6-A61B28AFCE7B}" name="Penalty_Rank_Value" dataDxfId="464">
      <calculatedColumnFormula>LEFT(tblGroupB[[#This Row],[Total_Group_Rank_Value]],7)</calculatedColumnFormula>
    </tableColumn>
    <tableColumn id="19" xr3:uid="{BACC5837-8A2F-4926-AC9A-B255BA394C7B}" name="Diciplinary_Rank_Value" dataDxfId="463">
      <calculatedColumnFormula>LEFT(tblGroupB[[#This Row],[Total_Group_Rank_Value]],8)</calculatedColumnFormula>
    </tableColumn>
    <tableColumn id="22" xr3:uid="{E21B7019-3A21-4847-BF56-012CF04DA35E}" name="Points_Match" dataDxfId="462">
      <calculatedColumnFormula>COUNTIF(tblGroupB[Group_Point_Rank_Value],tblGroupB[[#This Row],[Group_Point_Rank_Value]])&gt;1</calculatedColumnFormula>
    </tableColumn>
    <tableColumn id="23" xr3:uid="{4E3ABAC1-7082-42B1-AF97-AE8EDBDAAC7C}" name="H2H_Match" dataDxfId="461">
      <calculatedColumnFormula>COUNTIF(tblGroupB[Head_To_Head_Rank_Value],tblGroupB[[#This Row],[Head_To_Head_Rank_Value]])&gt;1</calculatedColumnFormula>
    </tableColumn>
    <tableColumn id="24" xr3:uid="{06BFFDA4-8BE9-4785-8D86-BB167C53245A}" name="Goals_Match" dataDxfId="460">
      <calculatedColumnFormula>COUNTIF(tblGroupB[Group_Goals_Rank_Value],tblGroupB[[#This Row],[Group_Goals_Rank_Value]])&gt;1</calculatedColumnFormula>
    </tableColumn>
    <tableColumn id="25" xr3:uid="{3906BA31-A983-41D8-B6A8-C96A7FF71861}" name="Wins_Match" dataDxfId="459">
      <calculatedColumnFormula>COUNTIF(tblGroupB[Wins_Rank_Value],tblGroupB[[#This Row],[Wins_Rank_Value]])&gt;1</calculatedColumnFormula>
    </tableColumn>
    <tableColumn id="26" xr3:uid="{280FD580-E501-4BC7-93BA-2D31AC5E2C34}" name="Penalty_Match" dataDxfId="458">
      <calculatedColumnFormula>COUNTIF(tblGroupB[Penalty_Rank_Value],tblGroupB[[#This Row],[Penalty_Rank_Value]])&gt;1</calculatedColumnFormula>
    </tableColumn>
    <tableColumn id="27" xr3:uid="{81893D0E-0CF9-4133-9EA8-F21A0B661FF4}" name="Disciplinary_Match" dataDxfId="457">
      <calculatedColumnFormula>COUNTIF(tblGroupB[Diciplinary_Rank_Value],tblGroupB[[#This Row],[Diciplinary_Rank_Value]])&gt;1</calculatedColumnFormula>
    </tableColumn>
    <tableColumn id="28" xr3:uid="{5B38F232-3A6D-4C4B-90EE-8AE20ABE5585}" name="Qualifier_Match" dataDxfId="456">
      <calculatedColumnFormula>COUNTIF(tblGroupB[Total_Group_Rank_Value],tblGroupB[[#This Row],[Total_Group_Rank_Value]])&gt;1</calculatedColumnFormula>
    </tableColumn>
    <tableColumn id="29" xr3:uid="{D0A3C4C8-7825-4BBE-9595-AE75EAFE19CB}" name="Qualify_Note" dataDxfId="455">
      <calculatedColumnFormula>IF(tblGroupB[[#This Row],[Points_Match]],IF(tblGroupB[[#This Row],[H2H_Match]],IF(tblGroupB[[#This Row],[Goals_Match]],IF(tblGroupB[[#This Row],[Wins_Match]],IF(tblGroupB[[#This Row],[Penalty_Match]],IF(tblGroupB[[#This Row],[Disciplinary_Match]],"Euro Qualifier Rank","Disciplinary Points ("&amp;tblGroupB[[#This Row],[Total_Diciplinary_Points]]&amp;")"),"Penalties"),"Wins ("&amp;tblGroupB[[#This Row],[Table_Won]]&amp;")"),""),"Head 2 Head ("&amp;tblGroupB[[#This Row],[Table_Head_to_Head_Rank]]&amp;")"),"")</calculatedColumnFormula>
    </tableColumn>
    <tableColumn id="30" xr3:uid="{04FE29A9-5BD1-49E9-858F-64A704A38153}" name="Is_Third_Qualify" dataDxfId="285">
      <calculatedColumnFormula>AND(tblGroupB[[#This Row],[Table_Position]]=3,COUNTIFS(tblGroupThirdPlace[Team_Number],tblGroupB[[#This Row],[Team_Number]],tblGroupThirdPlace[Table_Position],"&lt;5")&gt;0)</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D6970B9-5917-4975-AA19-27FC39186F22}" name="tblMatchesB" displayName="tblMatchesB" ref="AH18:AQ24" totalsRowShown="0" headerRowDxfId="365" dataDxfId="364">
  <autoFilter ref="AH18:AQ24" xr:uid="{DD6970B9-5917-4975-AA19-27FC39186F22}"/>
  <tableColumns count="10">
    <tableColumn id="1" xr3:uid="{35D6D2F1-235A-4809-A942-3FF703D86545}" name="Match_Code" dataDxfId="375"/>
    <tableColumn id="2" xr3:uid="{0556ED5C-456C-4B24-98C2-2BBB887A9B5E}" name="Date &amp; Time" dataDxfId="374">
      <calculatedColumnFormula>TEXT(INDEX(tblGroupMatch[],MATCH(tblMatchesB[[#This Row],[Match_Code]],tblGroupMatch[Match_Code],0),MATCH("Date &amp; Time",tblGroupMatch[#Headers],0)),"ddd dd mmm hh:mm")&amp;" ("&amp;INDEX(tblGroupMatch[],MATCH(tblMatchesB[[#This Row],[Match_Code]],tblGroupMatch[Match_Code],0),MATCH("TV_Station",tblGroupMatch[#Headers],0))&amp;")"</calculatedColumnFormula>
    </tableColumn>
    <tableColumn id="3" xr3:uid="{FA864E08-9011-44AF-847A-AD8A752317B5}" name="Team A Name" dataDxfId="373">
      <calculatedColumnFormula>INDEX(tblGroupMatch[],MATCH(tblMatchesB[[#This Row],[Match_Code]],tblGroupMatch[Match_Code],0),MATCH("Team A Name",tblGroupMatch[#Headers],0))</calculatedColumnFormula>
    </tableColumn>
    <tableColumn id="4" xr3:uid="{13DF2B1F-F2B6-420E-B304-E9349EE46E74}" name="Team A Goals" dataDxfId="372">
      <calculatedColumnFormula>INDEX(tblGroupMatch[],MATCH(tblMatchesB[[#This Row],[Match_Code]],tblGroupMatch[Match_Code],0),MATCH("Team A Goals",tblGroupMatch[#Headers],0))&amp;IF(AND(tblMatchesB[[#This Row],[Team A Penalties]]&gt;0,tblMatchesB[[#This Row],[Team B Penalties]]&gt;0)," (Pen "&amp;tblMatchesB[[#This Row],[Team A Penalties]]&amp;")","")</calculatedColumnFormula>
    </tableColumn>
    <tableColumn id="5" xr3:uid="{5504AACF-C6CD-4462-A079-77E1A2BE47C7}" name="Team A Penalties" dataDxfId="371">
      <calculatedColumnFormula>INDEX(tblGroupMatch[],MATCH(tblMatchesB[[#This Row],[Match_Code]],tblGroupMatch[Match_Code],0),MATCH("Team A Penalties",tblGroupMatch[#Headers],0))</calculatedColumnFormula>
    </tableColumn>
    <tableColumn id="6" xr3:uid="{6AA1024F-EC2D-42FA-B2C6-1FE0FA8C36BF}" name="Team B Penalties" dataDxfId="370">
      <calculatedColumnFormula>INDEX(tblGroupMatch[],MATCH(tblMatchesB[[#This Row],[Match_Code]],tblGroupMatch[Match_Code],0),MATCH("Team B Penalties",tblGroupMatch[#Headers],0))</calculatedColumnFormula>
    </tableColumn>
    <tableColumn id="7" xr3:uid="{16FE0A3F-857C-4B69-A6A0-C9C3CAF96225}" name="Team B Goals" dataDxfId="369">
      <calculatedColumnFormula>IF(AND(tblMatchesB[[#This Row],[Team A Penalties]]&gt;0,tblMatchesB[[#This Row],[Team B Penalties]]&gt;0),"(Pen "&amp;tblMatchesB[[#This Row],[Team B Penalties]]&amp;") ","")&amp;INDEX(tblGroupMatch[],MATCH(tblMatchesB[[#This Row],[Match_Code]],tblGroupMatch[Match_Code],0),MATCH("Team B Goals",tblGroupMatch[#Headers],0))</calculatedColumnFormula>
    </tableColumn>
    <tableColumn id="8" xr3:uid="{B8E97A8E-F12F-4E56-B771-719D038E3FC5}" name="Team B Name" dataDxfId="368">
      <calculatedColumnFormula>INDEX(tblGroupMatch[],MATCH(tblMatchesB[[#This Row],[Match_Code]],tblGroupMatch[Match_Code],0),MATCH("Team B Name",tblGroupMatch[#Headers],0))</calculatedColumnFormula>
    </tableColumn>
    <tableColumn id="9" xr3:uid="{B65DBEAB-136B-48AD-8E7B-3B13C015A0BC}" name="Venue" dataDxfId="367">
      <calculatedColumnFormula>INDEX(tblGroupMatch[],MATCH(tblMatchesB[[#This Row],[Match_Code]],tblGroupMatch[Match_Code],0),MATCH("Venue",tblGroupMatch[#Headers],0))</calculatedColumnFormula>
    </tableColumn>
    <tableColumn id="10" xr3:uid="{5C05A578-3307-4E58-8AF7-3B7BFFCDEA38}" name="Mid Section" dataDxfId="366">
      <calculatedColumnFormula>" - "</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13D52AF-75C6-4D31-BA8C-80537D6F85CE}" name="tblGroupA" displayName="tblGroupA" ref="B7:AE11" totalsRowShown="0" headerRowDxfId="454" dataDxfId="453">
  <autoFilter ref="B7:AE11" xr:uid="{C13D52AF-75C6-4D31-BA8C-80537D6F85CE}"/>
  <tableColumns count="30">
    <tableColumn id="1" xr3:uid="{30E0C839-5681-477B-87EC-2035FC81FDF2}" name="Table_Rank_Code" dataDxfId="452"/>
    <tableColumn id="2" xr3:uid="{4DD13A70-96DA-4179-8F72-BCF4FAD52813}" name="Team_Number" dataDxfId="451">
      <calculatedColumnFormula>INDEX(tblGroupTotals[],MATCH(tblGroupA[[#This Row],[Table_Rank_Code]],tblGroupTotals[Table_Rank_Code],0),MATCH("Team_Number",tblGroupTotals[#Headers],0))</calculatedColumnFormula>
    </tableColumn>
    <tableColumn id="3" xr3:uid="{468A015B-5DA7-4C29-867A-ADAA188F043C}" name="Table_Position" dataDxfId="450"/>
    <tableColumn id="4" xr3:uid="{03B9DDB4-C5AA-4D2E-95A2-6400185A87DD}" name="Table_Team" dataDxfId="449">
      <calculatedColumnFormula>INDEX(lkupTeam[],MATCH(tblGroupA[[#This Row],[Team_Number]],lkupTeam[Team_Number],0),MATCH("Team",lkupTeam[#Headers],0))</calculatedColumnFormula>
    </tableColumn>
    <tableColumn id="5" xr3:uid="{90435F8C-4D93-4557-B168-BB4C539D23BF}" name="Table_Played" dataDxfId="448">
      <calculatedColumnFormula>INDEX(tblGroupTotals[],MATCH(tblGroupA[[#This Row],[Table_Rank_Code]],tblGroupTotals[Table_Rank_Code],0),MATCH("Total_Games",tblGroupTotals[#Headers],0))</calculatedColumnFormula>
    </tableColumn>
    <tableColumn id="6" xr3:uid="{889BDCD7-1B95-4DE6-8E18-9AFC1A0D3C72}" name="Table_Won" dataDxfId="447">
      <calculatedColumnFormula>INDEX(tblGroupTotals[],MATCH(tblGroupA[[#This Row],[Table_Rank_Code]],tblGroupTotals[Table_Rank_Code],0),MATCH("Total_Wins",tblGroupTotals[#Headers],0))</calculatedColumnFormula>
    </tableColumn>
    <tableColumn id="7" xr3:uid="{877CB707-75C1-4179-B940-B03BA69A16EC}" name="Table_Drew" dataDxfId="446">
      <calculatedColumnFormula>INDEX(tblGroupTotals[],MATCH(tblGroupA[[#This Row],[Table_Rank_Code]],tblGroupTotals[Table_Rank_Code],0),MATCH("Total_Draws",tblGroupTotals[#Headers],0))</calculatedColumnFormula>
    </tableColumn>
    <tableColumn id="8" xr3:uid="{533AAE68-CBAC-4E52-A84A-9C7211C77181}" name="Table_Lost" dataDxfId="445">
      <calculatedColumnFormula>INDEX(tblGroupTotals[],MATCH(tblGroupA[[#This Row],[Table_Rank_Code]],tblGroupTotals[Table_Rank_Code],0),MATCH("Total_Loses",tblGroupTotals[#Headers],0))</calculatedColumnFormula>
    </tableColumn>
    <tableColumn id="9" xr3:uid="{4B01FF02-011F-4C75-8938-5FBFF865B78B}" name="Table_For" dataDxfId="444">
      <calculatedColumnFormula>INDEX(tblGroupTotals[],MATCH(tblGroupA[[#This Row],[Table_Rank_Code]],tblGroupTotals[Table_Rank_Code],0),MATCH("Total_Goals_For",tblGroupTotals[#Headers],0))</calculatedColumnFormula>
    </tableColumn>
    <tableColumn id="10" xr3:uid="{67489C2C-F74D-40FF-A6C4-2C521D46000E}" name="Table_Against" dataDxfId="443">
      <calculatedColumnFormula>INDEX(tblGroupTotals[],MATCH(tblGroupA[[#This Row],[Table_Rank_Code]],tblGroupTotals[Table_Rank_Code],0),MATCH("Total_Goals_Against",tblGroupTotals[#Headers],0))</calculatedColumnFormula>
    </tableColumn>
    <tableColumn id="11" xr3:uid="{61EC519C-DC76-4F1D-927C-8936BA618EAC}" name="Table_Goal_Difference" dataDxfId="442">
      <calculatedColumnFormula>INDEX(tblGroupTotals[],MATCH(tblGroupA[[#This Row],[Table_Rank_Code]],tblGroupTotals[Table_Rank_Code],0),MATCH("Goal_Difference",tblGroupTotals[#Headers],0))</calculatedColumnFormula>
    </tableColumn>
    <tableColumn id="12" xr3:uid="{DEC64508-0395-4BBE-A780-77F5FD5B2D64}" name="Table_Points" dataDxfId="441">
      <calculatedColumnFormula>INDEX(tblGroupTotals[],MATCH(tblGroupA[[#This Row],[Table_Rank_Code]],tblGroupTotals[Table_Rank_Code],0),MATCH("Total_Points",tblGroupTotals[#Headers],0))</calculatedColumnFormula>
    </tableColumn>
    <tableColumn id="13" xr3:uid="{BBE7D4CE-123C-498D-B6CF-D2064C9F0D3B}" name="Table_Head_to_Head_Rank" dataDxfId="440">
      <calculatedColumnFormula>IF(INDEX(tblGroupTotals[],MATCH(tblGroupA[[#This Row],[Table_Rank_Code]],tblGroupTotals[Table_Rank_Code],0),MATCH("Group_Points_TieBreak_Rank_1",tblGroupTotals[#Headers],0))&lt;&gt;4,INDEX(tblGroupTotals[],MATCH(tblGroupA[[#This Row],[Table_Rank_Code]],tblGroupTotals[Table_Rank_Code],0),MATCH("Group_Points_TieBreak_Rank_1",tblGroupTotals[#Headers],0)),"")</calculatedColumnFormula>
    </tableColumn>
    <tableColumn id="14" xr3:uid="{9FB5DDD7-F52A-450E-BF95-DD8BB24F7808}" name="Total_Diciplinary_Points" dataDxfId="439">
      <calculatedColumnFormula>INDEX(tblGroupTotals[],MATCH(tblGroupA[[#This Row],[Table_Rank_Code]],tblGroupTotals[Table_Rank_Code],0),MATCH("Total_Diciplinary_Points",tblGroupTotals[#Headers],0))</calculatedColumnFormula>
    </tableColumn>
    <tableColumn id="15" xr3:uid="{061AF496-C92B-43B4-8B38-95E5D31CD487}" name="Total_Group_Rank_Value" dataDxfId="438">
      <calculatedColumnFormula>INDEX(tblGroupTotals[],MATCH(tblGroupA[[#This Row],[Table_Rank_Code]],tblGroupTotals[Table_Rank_Code],0),MATCH("Total_Group_Rank_Value",tblGroupTotals[#Headers],0))</calculatedColumnFormula>
    </tableColumn>
    <tableColumn id="17" xr3:uid="{2E212B83-64EE-442A-9B00-AF720F583006}" name="Group_Point_Rank_Value" dataDxfId="437">
      <calculatedColumnFormula>LEFT(tblGroupA[[#This Row],[Total_Group_Rank_Value]],1)</calculatedColumnFormula>
    </tableColumn>
    <tableColumn id="16" xr3:uid="{76B22B83-AA4D-4018-9F20-35326F4CAD56}" name="Head_To_Head_Rank_Value" dataDxfId="436">
      <calculatedColumnFormula>LEFT(tblGroupA[[#This Row],[Total_Group_Rank_Value]],3)</calculatedColumnFormula>
    </tableColumn>
    <tableColumn id="18" xr3:uid="{2D69B125-2EED-4A39-9DD4-BA6883B018EE}" name="Group_Goals_Rank_Value" dataDxfId="435">
      <calculatedColumnFormula>LEFT(tblGroupA[[#This Row],[Total_Group_Rank_Value]],5)</calculatedColumnFormula>
    </tableColumn>
    <tableColumn id="21" xr3:uid="{1EAB7FDF-B009-44BE-BDB0-0E32F75ED7DD}" name="Wins_Rank_Value" dataDxfId="434">
      <calculatedColumnFormula>LEFT(tblGroupA[[#This Row],[Total_Group_Rank_Value]],6)</calculatedColumnFormula>
    </tableColumn>
    <tableColumn id="20" xr3:uid="{6CBDDFED-A3C2-4B3E-88C1-5A7CAC3ED26D}" name="Penalty_Rank_Value" dataDxfId="433">
      <calculatedColumnFormula>LEFT(tblGroupA[[#This Row],[Total_Group_Rank_Value]],7)</calculatedColumnFormula>
    </tableColumn>
    <tableColumn id="19" xr3:uid="{0EB670DE-EFF1-46CD-AB38-20D270884C7D}" name="Diciplinary_Rank_Value" dataDxfId="432">
      <calculatedColumnFormula>LEFT(tblGroupA[[#This Row],[Total_Group_Rank_Value]],8)</calculatedColumnFormula>
    </tableColumn>
    <tableColumn id="22" xr3:uid="{8B7556E3-6EF4-4816-90E3-8279584D75C6}" name="Points_Match" dataDxfId="431">
      <calculatedColumnFormula>COUNTIF(tblGroupA[Group_Point_Rank_Value],tblGroupA[[#This Row],[Group_Point_Rank_Value]])&gt;1</calculatedColumnFormula>
    </tableColumn>
    <tableColumn id="23" xr3:uid="{0828A173-CAF6-400D-A268-514955EAE44A}" name="H2H_Match" dataDxfId="430">
      <calculatedColumnFormula>COUNTIF(tblGroupA[Head_To_Head_Rank_Value],tblGroupA[[#This Row],[Head_To_Head_Rank_Value]])&gt;1</calculatedColumnFormula>
    </tableColumn>
    <tableColumn id="24" xr3:uid="{EE305BBD-CF0D-4576-B0F0-44EE6BFA61E6}" name="Goals_Match" dataDxfId="429">
      <calculatedColumnFormula>COUNTIF(tblGroupA[Group_Goals_Rank_Value],tblGroupA[[#This Row],[Group_Goals_Rank_Value]])&gt;1</calculatedColumnFormula>
    </tableColumn>
    <tableColumn id="25" xr3:uid="{EF4568C5-C1E4-4DAF-9114-7D8C4F056CE7}" name="Wins_Match" dataDxfId="428">
      <calculatedColumnFormula>COUNTIF(tblGroupA[Wins_Rank_Value],tblGroupA[[#This Row],[Wins_Rank_Value]])&gt;1</calculatedColumnFormula>
    </tableColumn>
    <tableColumn id="26" xr3:uid="{F06C35F3-837A-43AE-A463-06F21933D6CC}" name="Penalty_Match" dataDxfId="427">
      <calculatedColumnFormula>COUNTIF(tblGroupA[Penalty_Rank_Value],tblGroupA[[#This Row],[Penalty_Rank_Value]])&gt;1</calculatedColumnFormula>
    </tableColumn>
    <tableColumn id="27" xr3:uid="{9BF92F35-8A57-4D28-B249-98B5EBA99A1D}" name="Disciplinary_Match" dataDxfId="426">
      <calculatedColumnFormula>COUNTIF(tblGroupA[Diciplinary_Rank_Value],tblGroupA[[#This Row],[Diciplinary_Rank_Value]])&gt;1</calculatedColumnFormula>
    </tableColumn>
    <tableColumn id="28" xr3:uid="{2E4E689B-8EAA-4148-A55C-65620E8BF625}" name="Qualifier_Match" dataDxfId="425">
      <calculatedColumnFormula>COUNTIF(tblGroupA[Total_Group_Rank_Value],tblGroupA[[#This Row],[Total_Group_Rank_Value]])&gt;1</calculatedColumnFormula>
    </tableColumn>
    <tableColumn id="29" xr3:uid="{FB8FA220-CE64-437C-B571-82BB49992C6D}" name="Qualify_Note" dataDxfId="424">
      <calculatedColumnFormula>IF(tblGroupA[[#This Row],[Points_Match]],IF(tblGroupA[[#This Row],[H2H_Match]],IF(tblGroupA[[#This Row],[Goals_Match]],IF(tblGroupA[[#This Row],[Wins_Match]],IF(tblGroupA[[#This Row],[Penalty_Match]],IF(tblGroupA[[#This Row],[Disciplinary_Match]],"Euro Qualifier Rank","Disciplinary Points ("&amp;tblGroupA[[#This Row],[Total_Diciplinary_Points]]&amp;")"),"Penalties"),"Wins ("&amp;tblGroupA[[#This Row],[Table_Won]]&amp;")"),""),"Head 2 Head ("&amp;tblGroupA[[#This Row],[Table_Head_to_Head_Rank]]&amp;")"),"")</calculatedColumnFormula>
    </tableColumn>
    <tableColumn id="31" xr3:uid="{0FB5966B-2E4A-4433-844E-473BBF8EC369}" name="Is_Third_Qualify" dataDxfId="286">
      <calculatedColumnFormula>AND(tblGroupA[[#This Row],[Table_Position]]=3,COUNTIFS(tblGroupThirdPlace[Team_Number],tblGroupA[[#This Row],[Team_Number]],tblGroupThirdPlace[Table_Position],"&lt;5")&gt;0)</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246F1513-E217-440E-9713-CEFD46C97830}" name="tblMatchesA" displayName="tblMatchesA" ref="AH7:AQ13" totalsRowShown="0" headerRowDxfId="353" dataDxfId="352">
  <autoFilter ref="AH7:AQ13" xr:uid="{246F1513-E217-440E-9713-CEFD46C97830}"/>
  <tableColumns count="10">
    <tableColumn id="1" xr3:uid="{314DC401-3D27-4DF9-B230-6F2CF5C59E7B}" name="Match_Code" dataDxfId="363"/>
    <tableColumn id="2" xr3:uid="{7FF2BC7D-1F21-47B9-84F9-B0FC3A4D29B5}" name="Date &amp; Time" dataDxfId="362">
      <calculatedColumnFormula>TEXT(INDEX(tblGroupMatch[],MATCH(tblMatchesA[[#This Row],[Match_Code]],tblGroupMatch[Match_Code],0),MATCH("Date &amp; Time",tblGroupMatch[#Headers],0)),"ddd dd mmm hh:mm")&amp;" ("&amp;INDEX(tblGroupMatch[],MATCH(tblMatchesA[[#This Row],[Match_Code]],tblGroupMatch[Match_Code],0),MATCH("TV_Station",tblGroupMatch[#Headers],0))&amp;")"</calculatedColumnFormula>
    </tableColumn>
    <tableColumn id="3" xr3:uid="{FC5A39DD-855B-4BB0-938E-F7922B3CF2A2}" name="Team A Name" dataDxfId="361">
      <calculatedColumnFormula>INDEX(tblGroupMatch[],MATCH(tblMatchesA[[#This Row],[Match_Code]],tblGroupMatch[Match_Code],0),MATCH("Team A Name",tblGroupMatch[#Headers],0))</calculatedColumnFormula>
    </tableColumn>
    <tableColumn id="4" xr3:uid="{CFDFD448-44EB-4062-9DA2-BCCAF94E5E24}" name="Team A Goals" dataDxfId="360">
      <calculatedColumnFormula>INDEX(tblGroupMatch[],MATCH(tblMatchesA[[#This Row],[Match_Code]],tblGroupMatch[Match_Code],0),MATCH("Team A Goals",tblGroupMatch[#Headers],0))&amp;IF(AND(tblMatchesA[[#This Row],[Team A Penalties]]&gt;0,tblMatchesA[[#This Row],[Team B Penalties]]&gt;0)," (Pen "&amp;tblMatchesA[[#This Row],[Team A Penalties]]&amp;")","")</calculatedColumnFormula>
    </tableColumn>
    <tableColumn id="5" xr3:uid="{8EE7F829-7D27-45B7-BF6A-6A3B304BBBA0}" name="Team A Penalties" dataDxfId="359">
      <calculatedColumnFormula>INDEX(tblGroupMatch[],MATCH(tblMatchesA[[#This Row],[Match_Code]],tblGroupMatch[Match_Code],0),MATCH("Team A Penalties",tblGroupMatch[#Headers],0))</calculatedColumnFormula>
    </tableColumn>
    <tableColumn id="6" xr3:uid="{A32E0629-97EF-4CFE-BD6D-3856EDF8378F}" name="Team B Penalties" dataDxfId="358">
      <calculatedColumnFormula>INDEX(tblGroupMatch[],MATCH(tblMatchesA[[#This Row],[Match_Code]],tblGroupMatch[Match_Code],0),MATCH("Team B Penalties",tblGroupMatch[#Headers],0))</calculatedColumnFormula>
    </tableColumn>
    <tableColumn id="7" xr3:uid="{FD6134F6-7BC7-4810-BFFF-14B7C20E7C97}" name="Team B Goals" dataDxfId="357">
      <calculatedColumnFormula>IF(AND(tblMatchesA[[#This Row],[Team A Penalties]]&gt;0,tblMatchesA[[#This Row],[Team B Penalties]]&gt;0),"(Pen "&amp;tblMatchesA[[#This Row],[Team B Penalties]]&amp;") ","")&amp;INDEX(tblGroupMatch[],MATCH(tblMatchesA[[#This Row],[Match_Code]],tblGroupMatch[Match_Code],0),MATCH("Team B Goals",tblGroupMatch[#Headers],0))</calculatedColumnFormula>
    </tableColumn>
    <tableColumn id="8" xr3:uid="{AD197CCB-5C45-4ADE-BB1E-EFBE43064318}" name="Team B Name" dataDxfId="356">
      <calculatedColumnFormula>INDEX(tblGroupMatch[],MATCH(tblMatchesA[[#This Row],[Match_Code]],tblGroupMatch[Match_Code],0),MATCH("Team B Name",tblGroupMatch[#Headers],0))</calculatedColumnFormula>
    </tableColumn>
    <tableColumn id="9" xr3:uid="{B0587EE1-9B9B-4810-8A97-83F354159E5A}" name="Venue" dataDxfId="355">
      <calculatedColumnFormula>INDEX(tblGroupMatch[],MATCH(tblMatchesA[[#This Row],[Match_Code]],tblGroupMatch[Match_Code],0),MATCH("Venue",tblGroupMatch[#Headers],0))</calculatedColumnFormula>
    </tableColumn>
    <tableColumn id="10" xr3:uid="{FB978FC0-BF06-4A8D-9CD9-7A84659EA112}" name="Mid Section" dataDxfId="354">
      <calculatedColumnFormula>" - "</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E3E7DC04-58CB-4048-8F1B-AD029AB1AFB1}" name="tblGroupThirdPlace" displayName="tblGroupThirdPlace" ref="B73:Q80" totalsRowCount="1" headerRowDxfId="304" dataDxfId="303">
  <autoFilter ref="B73:Q79" xr:uid="{E3E7DC04-58CB-4048-8F1B-AD029AB1AFB1}"/>
  <tableColumns count="16">
    <tableColumn id="1" xr3:uid="{34E917C3-F302-417D-9DAE-D7529C818BB7}" name="Table_Rank" totalsRowLabel="Total" dataDxfId="302" totalsRowDxfId="259"/>
    <tableColumn id="2" xr3:uid="{3BF174C1-7386-4B91-AA4A-46A41D98C90C}" name="Team_Number" dataDxfId="301" totalsRowDxfId="258">
      <calculatedColumnFormula>INDEX(tblGroupThirdPlaceRank[],MATCH(tblGroupThirdPlace[[#This Row],[Table_Rank]],tblGroupThirdPlaceRank[Total_Group_Rank],0),MATCH("Team_Number",tblGroupThirdPlaceRank[#Headers],0))</calculatedColumnFormula>
    </tableColumn>
    <tableColumn id="3" xr3:uid="{7F0A7C2C-774B-4DAD-8458-8A2E583C1C98}" name="Table_Position" dataDxfId="300" totalsRowDxfId="257"/>
    <tableColumn id="4" xr3:uid="{AF4BC459-5F89-4B60-9E2F-382EAA6C887D}" name="Table_Team" dataDxfId="299" totalsRowDxfId="256">
      <calculatedColumnFormula>INDEX(lkupTeam[],MATCH(tblGroupThirdPlace[[#This Row],[Team_Number]],lkupTeam[Team_Number],0),MATCH("Team",lkupTeam[#Headers],0))</calculatedColumnFormula>
    </tableColumn>
    <tableColumn id="5" xr3:uid="{4130835A-39D1-4E38-BA0C-FA0E25760CFE}" name="Table_Played" totalsRowFunction="sum" dataDxfId="298" totalsRowDxfId="244">
      <calculatedColumnFormula>INDEX(tblGroupThirdPlaceRank[],MATCH(tblGroupThirdPlace[[#This Row],[Table_Rank]],tblGroupThirdPlaceRank[Total_Group_Rank],0),MATCH("Total_Games",tblGroupThirdPlaceRank[#Headers],0))</calculatedColumnFormula>
    </tableColumn>
    <tableColumn id="6" xr3:uid="{2C76EFBB-F88D-4DCC-A458-1699CADA7297}" name="Table_Won" dataDxfId="297" totalsRowDxfId="255">
      <calculatedColumnFormula>INDEX(tblGroupThirdPlaceRank[],MATCH(tblGroupThirdPlace[[#This Row],[Table_Rank]],tblGroupThirdPlaceRank[Total_Group_Rank],0),MATCH("Total_Wins",tblGroupThirdPlaceRank[#Headers],0))</calculatedColumnFormula>
    </tableColumn>
    <tableColumn id="7" xr3:uid="{12F918DB-5CF9-4186-BBBB-A4233120C7F7}" name="Table_Drew" dataDxfId="296" totalsRowDxfId="254">
      <calculatedColumnFormula>INDEX(tblGroupThirdPlaceRank[],MATCH(tblGroupThirdPlace[[#This Row],[Table_Rank]],tblGroupThirdPlaceRank[Total_Group_Rank],0),MATCH("Total_Draws",tblGroupThirdPlaceRank[#Headers],0))</calculatedColumnFormula>
    </tableColumn>
    <tableColumn id="8" xr3:uid="{E10CCADE-0BFA-4CCF-894A-E11C831C76C7}" name="Table_Lost" dataDxfId="295" totalsRowDxfId="253">
      <calculatedColumnFormula>INDEX(tblGroupThirdPlaceRank[],MATCH(tblGroupThirdPlace[[#This Row],[Table_Rank]],tblGroupThirdPlaceRank[Total_Group_Rank],0),MATCH("Total_Loses",tblGroupThirdPlaceRank[#Headers],0))</calculatedColumnFormula>
    </tableColumn>
    <tableColumn id="9" xr3:uid="{01A75B64-65CE-4FC6-9864-4BFC16B03BC8}" name="Table_For" dataDxfId="294" totalsRowDxfId="252">
      <calculatedColumnFormula>INDEX(tblGroupThirdPlaceRank[],MATCH(tblGroupThirdPlace[[#This Row],[Table_Rank]],tblGroupThirdPlaceRank[Total_Group_Rank],0),MATCH("Total_Goals_For",tblGroupThirdPlaceRank[#Headers],0))</calculatedColumnFormula>
    </tableColumn>
    <tableColumn id="10" xr3:uid="{D0FE7542-3638-430E-8BFB-727CCE607353}" name="Table_Against" dataDxfId="293" totalsRowDxfId="251">
      <calculatedColumnFormula>INDEX(tblGroupThirdPlaceRank[],MATCH(tblGroupThirdPlace[[#This Row],[Table_Rank]],tblGroupThirdPlaceRank[Total_Group_Rank],0),MATCH("Total_Goals_Against",tblGroupThirdPlaceRank[#Headers],0))</calculatedColumnFormula>
    </tableColumn>
    <tableColumn id="11" xr3:uid="{EF06A7BE-27F7-415C-B371-F2D87FC5A936}" name="Table_Goal_Difference" dataDxfId="292" totalsRowDxfId="250">
      <calculatedColumnFormula>INDEX(tblGroupThirdPlaceRank[],MATCH(tblGroupThirdPlace[[#This Row],[Table_Rank]],tblGroupThirdPlaceRank[Total_Group_Rank],0),MATCH("Goal_Difference",tblGroupThirdPlaceRank[#Headers],0))</calculatedColumnFormula>
    </tableColumn>
    <tableColumn id="12" xr3:uid="{3F4911B0-B80E-4B46-8390-871A0BB8E575}" name="Table_Points" dataDxfId="291" totalsRowDxfId="249">
      <calculatedColumnFormula>INDEX(tblGroupThirdPlaceRank[],MATCH(tblGroupThirdPlace[[#This Row],[Table_Rank]],tblGroupThirdPlaceRank[Total_Group_Rank],0),MATCH("Total_Points",tblGroupThirdPlaceRank[#Headers],0))</calculatedColumnFormula>
    </tableColumn>
    <tableColumn id="13" xr3:uid="{DDACE454-A191-46A3-80DF-71CC49EA0800}" name="Table_Diciplinary_Points" dataDxfId="290" totalsRowDxfId="248">
      <calculatedColumnFormula>INDEX(tblGroupThirdPlaceRank[],MATCH(tblGroupThirdPlace[[#This Row],[Table_Rank]],tblGroupThirdPlaceRank[Total_Group_Rank],0),MATCH("Total_Diciplinary_Points",tblGroupThirdPlaceRank[#Headers],0))</calculatedColumnFormula>
    </tableColumn>
    <tableColumn id="14" xr3:uid="{11A5C5EB-91EA-439B-9AEC-C8E5014C81EE}" name="Table_Qualifier_Rank" dataDxfId="289" totalsRowDxfId="247">
      <calculatedColumnFormula>INDEX(tblGroupThirdPlaceRank[],MATCH(tblGroupThirdPlace[[#This Row],[Table_Rank]],tblGroupThirdPlaceRank[Total_Group_Rank],0),MATCH("Qualifier_Rank",tblGroupThirdPlaceRank[#Headers],0))</calculatedColumnFormula>
    </tableColumn>
    <tableColumn id="15" xr3:uid="{E0988624-D51D-4C66-80EF-739DD74DBCFC}" name="Qualify_Note" dataDxfId="288" totalsRowDxfId="246">
      <calculatedColumnFormula>INDEX(tblGroupThirdPlaceRank[],MATCH(tblGroupThirdPlace[[#This Row],[Table_Rank]],tblGroupThirdPlaceRank[Total_Group_Rank],0),MATCH("Qualify_Note",tblGroupThirdPlaceRank[#Headers],0))</calculatedColumnFormula>
    </tableColumn>
    <tableColumn id="16" xr3:uid="{C353F537-9A48-4CA6-BD1A-465D3DAA1969}" name="Qualify_Group" totalsRowFunction="count" dataDxfId="287" totalsRowDxfId="245">
      <calculatedColumnFormula>INDEX(lkupTeam[],MATCH(tblGroupThirdPlace[[#This Row],[Team_Number]],lkupTeam[Team_Number],0),MATCH("Group_Code",lkupTeam[#Headers],0))</calculatedColumnFormula>
    </tableColum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6A77D83-13BC-4B3D-8EC0-F32B827A37C5}" name="tblGroupTotals" displayName="tblGroupTotals" ref="B2:AY26" totalsRowShown="0">
  <autoFilter ref="B2:AY26" xr:uid="{A6A77D83-13BC-4B3D-8EC0-F32B827A37C5}"/>
  <tableColumns count="50">
    <tableColumn id="1" xr3:uid="{1962FA5A-6384-4A50-B231-CAD3FB310B30}" name="Team_Code"/>
    <tableColumn id="15" xr3:uid="{09C7C470-7834-4626-9C54-2083ECE74917}" name="Group_Code" dataDxfId="892">
      <calculatedColumnFormula>LEFT(tblGroupTotals[[#This Row],[Team_Code]],1)</calculatedColumnFormula>
    </tableColumn>
    <tableColumn id="24" xr3:uid="{B88477EA-8508-4BDE-AB49-1A572134D4EF}" name="Group_Number" dataDxfId="870">
      <calculatedColumnFormula>RIGHT(tblGroupTotals[[#This Row],[Team_Code]],1)</calculatedColumnFormula>
    </tableColumn>
    <tableColumn id="2" xr3:uid="{86280E29-9555-481C-B0E8-F2292A9287E3}" name="Team_Number" dataDxfId="891">
      <calculatedColumnFormula>INDEX(lkupTeam[],MATCH(tblGroupTotals[[#This Row],[Team_Code]],lkupTeam[Team_Code],0),MATCH("Team_Number",lkupTeam[#Headers],0))</calculatedColumnFormula>
    </tableColumn>
    <tableColumn id="43" xr3:uid="{907E1F0D-CDB6-4695-B46D-7892D0143A7F}" name="Home_Games" dataDxfId="614">
      <calculatedColumnFormula>COUNTIFS(tblGroupMatch[Home_Team_Number],tblGroupTotals[[#This Row],[Team_Number]],tblGroupMatch[Is_Complete],TRUE)</calculatedColumnFormula>
    </tableColumn>
    <tableColumn id="3" xr3:uid="{3F580342-D93D-49B3-8403-45FBFFF51A6A}" name="Home_Points" dataDxfId="890">
      <calculatedColumnFormula>SUMIFS(tblGroupMatch[Home_Points],tblGroupMatch[Home_Team_Number],tblGroupTotals[[#This Row],[Team_Number]])</calculatedColumnFormula>
    </tableColumn>
    <tableColumn id="4" xr3:uid="{1F5221ED-5D3B-4721-9BC0-5DDD8D2F0E6E}" name="Home_Goals_For" dataDxfId="889">
      <calculatedColumnFormula>SUMIFS(tblGroupMatch[Team A Goals],tblGroupMatch[Home_Team_Number],tblGroupTotals[[#This Row],[Team_Number]])</calculatedColumnFormula>
    </tableColumn>
    <tableColumn id="5" xr3:uid="{D78F55A8-BD2C-47EF-9D08-D9731CE0CD42}" name="Home_Goals_Against" dataDxfId="888">
      <calculatedColumnFormula>SUMIFS(tblGroupMatch[Team B Goals],tblGroupMatch[Home_Team_Number],tblGroupTotals[[#This Row],[Team_Number]])</calculatedColumnFormula>
    </tableColumn>
    <tableColumn id="28" xr3:uid="{8F458DF8-C98D-49E5-859F-5E58F6916E70}" name="Home_Wins" dataDxfId="756">
      <calculatedColumnFormula>COUNTIFS(tblGroupMatch[Home_Team_Number],tblGroupTotals[[#This Row],[Team_Number]],tblGroupMatch[Home_Points],3)</calculatedColumnFormula>
    </tableColumn>
    <tableColumn id="41" xr3:uid="{DF168636-E12A-4B8D-BF87-82022670BDA5}" name="Home_Draws">
      <calculatedColumnFormula>COUNTIFS(tblGroupMatch[Home_Team_Number],tblGroupTotals[[#This Row],[Team_Number]],tblGroupMatch[Home_Points],1)</calculatedColumnFormula>
    </tableColumn>
    <tableColumn id="42" xr3:uid="{B058D490-FFDA-43F6-8967-7E303D77092A}" name="Home_Loses">
      <calculatedColumnFormula>COUNTIFS(tblGroupMatch[Home_Team_Number],tblGroupTotals[[#This Row],[Team_Number]],tblGroupMatch[Home_Points],0)</calculatedColumnFormula>
    </tableColumn>
    <tableColumn id="6" xr3:uid="{E746E589-4942-4EE7-A4A9-FCE706C88F5D}" name="Home_Yellow_Cards" dataDxfId="887">
      <calculatedColumnFormula>SUMIFS(tblGroupMatch[Team A YCs],tblGroupMatch[Home_Team_Number],tblGroupTotals[[#This Row],[Team_Number]])</calculatedColumnFormula>
    </tableColumn>
    <tableColumn id="7" xr3:uid="{73011E1B-EB51-46C7-949E-68BD273FC94E}" name="Home_Red_Cards" dataDxfId="886">
      <calculatedColumnFormula>SUMIFS(tblGroupMatch[Team A RCs],tblGroupMatch[Home_Team_Number],tblGroupTotals[[#This Row],[Team_Number]])</calculatedColumnFormula>
    </tableColumn>
    <tableColumn id="8" xr3:uid="{E9CE908D-41FB-46B5-8962-A9CEAC7D811D}" name="Home_Penalties" dataDxfId="885">
      <calculatedColumnFormula>SUMIFS(tblGroupMatch[Team A Penalties],tblGroupMatch[Home_Team_Number],tblGroupTotals[[#This Row],[Team_Number]])</calculatedColumnFormula>
    </tableColumn>
    <tableColumn id="44" xr3:uid="{B71765B9-A386-4211-8F41-EA9122D1DA72}" name="Away_Games" dataDxfId="613">
      <calculatedColumnFormula>COUNTIFS(tblGroupMatch[Away_Team_Number],tblGroupTotals[[#This Row],[Team_Number]],tblGroupMatch[Is_Complete],TRUE)</calculatedColumnFormula>
    </tableColumn>
    <tableColumn id="9" xr3:uid="{E12C9AF6-5800-461D-9980-FECA32A19DA9}" name="Away_Points" dataDxfId="884">
      <calculatedColumnFormula>SUMIFS(tblGroupMatch[Away_Points],tblGroupMatch[Away_Team_Number],tblGroupTotals[[#This Row],[Team_Number]])</calculatedColumnFormula>
    </tableColumn>
    <tableColumn id="10" xr3:uid="{FBA0A480-3FFB-4CA8-A092-12025E1A7295}" name="Away_Goals_For" dataDxfId="883">
      <calculatedColumnFormula>SUMIFS(tblGroupMatch[Team B Goals],tblGroupMatch[Away_Team_Number],tblGroupTotals[[#This Row],[Team_Number]])</calculatedColumnFormula>
    </tableColumn>
    <tableColumn id="11" xr3:uid="{EFF65A74-AA18-4131-A36A-BBC8073E31D7}" name="Away_Goals_Against" dataDxfId="882">
      <calculatedColumnFormula>SUMIFS(tblGroupMatch[Team A Goals],tblGroupMatch[Away_Team_Number],tblGroupTotals[[#This Row],[Team_Number]])</calculatedColumnFormula>
    </tableColumn>
    <tableColumn id="29" xr3:uid="{5C5ECC6E-B206-49AC-B2CA-1F46CA25B633}" name="Away_Wins" dataDxfId="755">
      <calculatedColumnFormula>COUNTIFS(tblGroupMatch[Away_Team_Number],tblGroupTotals[[#This Row],[Team_Number]],tblGroupMatch[Away_Points],3)</calculatedColumnFormula>
    </tableColumn>
    <tableColumn id="45" xr3:uid="{87400A15-092E-4CC7-9B4B-44D2F233168B}" name="Away_Draws">
      <calculatedColumnFormula>COUNTIFS(tblGroupMatch[Away_Team_Number],tblGroupTotals[[#This Row],[Team_Number]],tblGroupMatch[Away_Points],1)</calculatedColumnFormula>
    </tableColumn>
    <tableColumn id="46" xr3:uid="{228592DF-30AF-43BF-BA02-B48BFFDA7DB0}" name="Away_Loses">
      <calculatedColumnFormula>COUNTIFS(tblGroupMatch[Away_Team_Number],tblGroupTotals[[#This Row],[Team_Number]],tblGroupMatch[Away_Points],0)</calculatedColumnFormula>
    </tableColumn>
    <tableColumn id="12" xr3:uid="{9D2622B4-4D29-4AD4-B04A-24E93F6AFA43}" name="Away_Yellow_Cards" dataDxfId="881">
      <calculatedColumnFormula>SUMIFS(tblGroupMatch[Team B Ycs],tblGroupMatch[Away_Team_Number],tblGroupTotals[[#This Row],[Team_Number]])</calculatedColumnFormula>
    </tableColumn>
    <tableColumn id="13" xr3:uid="{D897D07B-DB71-48B2-996E-D5EE47F3D51D}" name="Away_Red_Cards" dataDxfId="880">
      <calculatedColumnFormula>SUMIFS(tblGroupMatch[Team B RCs],tblGroupMatch[Away_Team_Number],tblGroupTotals[[#This Row],[Team_Number]])</calculatedColumnFormula>
    </tableColumn>
    <tableColumn id="14" xr3:uid="{88153C5B-06E4-4D94-AE2C-A8B9D7CF8B5A}" name="Away_Penalties" dataDxfId="879">
      <calculatedColumnFormula>SUMIFS(tblGroupMatch[Team B Penalties],tblGroupMatch[Away_Team_Number],tblGroupTotals[[#This Row],[Team_Number]])</calculatedColumnFormula>
    </tableColumn>
    <tableColumn id="47" xr3:uid="{6AA769F8-D4FA-40BD-9E23-8225447D3C85}" name="Total_Games" dataDxfId="612">
      <calculatedColumnFormula>SUM(tblGroupTotals[[#This Row],[Home_Games]],tblGroupTotals[[#This Row],[Away_Games]])</calculatedColumnFormula>
    </tableColumn>
    <tableColumn id="16" xr3:uid="{91D2FC6C-E8E8-49B6-878B-26A875443688}" name="Total_Points" dataDxfId="878">
      <calculatedColumnFormula>SUM(tblGroupTotals[[#This Row],[Home_Points]],tblGroupTotals[[#This Row],[Away_Points]])</calculatedColumnFormula>
    </tableColumn>
    <tableColumn id="30" xr3:uid="{9E505FDD-E6D7-4776-B5EB-D8331E0D2764}" name="Goal_Difference" dataDxfId="754">
      <calculatedColumnFormula>tblGroupTotals[[#This Row],[Total_Goals_For]]-tblGroupTotals[[#This Row],[Total_Goals_Against]]</calculatedColumnFormula>
    </tableColumn>
    <tableColumn id="17" xr3:uid="{9083D253-22ED-4A8B-AED0-DD529B1A0306}" name="Total_Goals_For" dataDxfId="877">
      <calculatedColumnFormula>SUM(tblGroupTotals[[#This Row],[Home_Goals_For]],tblGroupTotals[[#This Row],[Away_Goals_For]])</calculatedColumnFormula>
    </tableColumn>
    <tableColumn id="18" xr3:uid="{CD4A9ED9-FF1D-462C-82DE-BD85E649988F}" name="Total_Goals_Against" dataDxfId="876">
      <calculatedColumnFormula>SUM(tblGroupTotals[[#This Row],[Home_Goals_Against]],tblGroupTotals[[#This Row],[Away_Goals_Against]])</calculatedColumnFormula>
    </tableColumn>
    <tableColumn id="31" xr3:uid="{57E691E2-C8B3-4649-BE6A-DDDC2BE3193B}" name="Total_Wins" dataDxfId="753">
      <calculatedColumnFormula>SUM(tblGroupTotals[[#This Row],[Home_Wins]],tblGroupTotals[[#This Row],[Away_Wins]])</calculatedColumnFormula>
    </tableColumn>
    <tableColumn id="49" xr3:uid="{776C7FAF-1EE2-4F46-AA91-4E56221B72B2}" name="Total_Draws" dataDxfId="610">
      <calculatedColumnFormula>SUM(tblGroupTotals[[#This Row],[Home_Draws]],tblGroupTotals[[#This Row],[Away_Draws]])</calculatedColumnFormula>
    </tableColumn>
    <tableColumn id="48" xr3:uid="{6E88545D-C7F1-4E68-8189-F07C3D8A7BE7}" name="Total_Loses" dataDxfId="611">
      <calculatedColumnFormula>SUM(tblGroupTotals[[#This Row],[Home_Loses]],tblGroupTotals[[#This Row],[Away_Loses]])</calculatedColumnFormula>
    </tableColumn>
    <tableColumn id="19" xr3:uid="{3917E33A-AC98-4BCF-B987-F11CACF78D3E}" name="Total_Yellow_Cards" dataDxfId="875">
      <calculatedColumnFormula>SUM(tblGroupTotals[[#This Row],[Home_Yellow_Cards]],tblGroupTotals[[#This Row],[Away_Yellow_Cards]])</calculatedColumnFormula>
    </tableColumn>
    <tableColumn id="20" xr3:uid="{14CB66A5-9E75-4E4C-866E-08333686AE89}" name="Total_Red_Cards" dataDxfId="874">
      <calculatedColumnFormula>SUM(tblGroupTotals[[#This Row],[Home_Red_Cards]],tblGroupTotals[[#This Row],[Away_Red_Cards]])</calculatedColumnFormula>
    </tableColumn>
    <tableColumn id="21" xr3:uid="{D2A47708-3F98-4849-9FCA-D5AE9ADD36FE}" name="Total_Penalties" dataDxfId="873">
      <calculatedColumnFormula>SUM(tblGroupTotals[[#This Row],[Home_Penalties]],tblGroupTotals[[#This Row],[Away_Penalties]])</calculatedColumnFormula>
    </tableColumn>
    <tableColumn id="22" xr3:uid="{5BD5D0CF-7489-4485-BA44-071D56F405E8}" name="Total_Diciplinary_Points" dataDxfId="872">
      <calculatedColumnFormula>SUM(tblGroupTotals[[#This Row],[Total_Yellow_Cards]],tblGroupTotals[[#This Row],[Total_Red_Cards]]*3)</calculatedColumnFormula>
    </tableColumn>
    <tableColumn id="50" xr3:uid="{D9E8FA40-4B7B-4DD4-BE48-DF4B506DDAD5}" name="Qualifier_Rank_Position" dataDxfId="334">
      <calculatedColumnFormula>INDEX(lkupTeam[],MATCH(tblGroupTotals[[#This Row],[Team_Code]],lkupTeam[Team_Code],0),MATCH("Qualifier_Rank",lkupTeam[#Headers],0))</calculatedColumnFormula>
    </tableColumn>
    <tableColumn id="25" xr3:uid="{7DE0A911-A722-449E-B943-CBF1A2914A25}" name="Group_Points_Rank_Code" dataDxfId="751">
      <calculatedColumnFormula>tblGroupTotals[[#This Row],[Group_Code]]&amp;tblGroupTotals[[#This Row],[Group_Points_Rank]]&amp;tblGroupTotals[[#This Row],[Group_Number]]</calculatedColumnFormula>
    </tableColumn>
    <tableColumn id="23" xr3:uid="{301D45EA-1531-4E56-A2F2-319C06A2D21E}" name="Group_Points_Rank" dataDxfId="871">
      <calculatedColumnFormula array="1">SUMPRODUCT((tblGroupTotals[[#This Row],[Group_Code]]=tblGroupTotals[Group_Code])*(tblGroupTotals[[#This Row],[Total_Points]]&lt;tblGroupTotals[Total_Points]))+1</calculatedColumnFormula>
    </tableColumn>
    <tableColumn id="26" xr3:uid="{CAB76B4A-F8B0-4C90-9B98-0036A6F4899C}" name="Group_Points_TieBreak_Rank_1" dataDxfId="758">
      <calculatedColumnFormula>IFERROR(INDEX(INDIRECT("tblTieBreak"&amp;tblGroupTotals[[#This Row],[Group_Code]]&amp;"1"),MATCH(tblGroupTotals[[#This Row],[Team_Code]],INDIRECT("tblTieBreak"&amp;tblGroupTotals[[#This Row],[Group_Code]]&amp;"1[Team_Code]"),0),MATCH("TieBreak_Rank",INDIRECT("tblTieBreak"&amp;tblGroupTotals[[#This Row],[Group_Code]]&amp;"1[#Headers]"),0)),4)</calculatedColumnFormula>
    </tableColumn>
    <tableColumn id="27" xr3:uid="{E0DB6177-F249-4007-B26F-52883B07BF92}" name="Group_Points_TieBreak_Rank_2" dataDxfId="757">
      <calculatedColumnFormula>IFERROR(INDEX(INDIRECT("tblTieBreak"&amp;tblGroupTotals[[#This Row],[Group_Code]]&amp;"2"),MATCH(tblGroupTotals[[#This Row],[Team_Code]],INDIRECT("tblTieBreak"&amp;tblGroupTotals[[#This Row],[Group_Code]]&amp;"2[Team_Code]"),0),MATCH("TieBreak_Rank",INDIRECT("tblTieBreak"&amp;tblGroupTotals[[#This Row],[Group_Code]]&amp;"2[#Headers]"),0)),4)</calculatedColumnFormula>
    </tableColumn>
    <tableColumn id="32" xr3:uid="{8C48AA12-A0F3-4E4B-9F96-FFECDC1A3692}" name="Goal_Difference_Rank" dataDxfId="752">
      <calculatedColumnFormula array="1">SUMPRODUCT((tblGroupTotals[[#This Row],[Group_Code]]=tblGroupTotals[Group_Code])*(tblGroupTotals[[#This Row],[Goal_Difference]]&lt;tblGroupTotals[Goal_Difference]))+1</calculatedColumnFormula>
    </tableColumn>
    <tableColumn id="33" xr3:uid="{C0F9A8E1-E839-4224-98AA-2742F6D1F403}" name="Goals_Scored_Rank" dataDxfId="750">
      <calculatedColumnFormula array="1">SUMPRODUCT((tblGroupTotals[[#This Row],[Group_Code]]=tblGroupTotals[Group_Code])*(tblGroupTotals[[#This Row],[Total_Goals_For]]&lt;tblGroupTotals[Total_Goals_For]))+1</calculatedColumnFormula>
    </tableColumn>
    <tableColumn id="34" xr3:uid="{8566BCF9-8589-4B21-B659-C55AA859FC03}" name="Wins_Count_Rank" dataDxfId="749">
      <calculatedColumnFormula array="1">SUMPRODUCT((tblGroupTotals[[#This Row],[Group_Code]]=tblGroupTotals[Group_Code])*(tblGroupTotals[[#This Row],[Total_Wins]]&lt;tblGroupTotals[Total_Wins]))+1</calculatedColumnFormula>
    </tableColumn>
    <tableColumn id="35" xr3:uid="{D9B10A86-E31E-4247-AB2A-58FB09B216DA}" name="Penalty_Rank" dataDxfId="748">
      <calculatedColumnFormula array="1">SUMPRODUCT((tblGroupTotals[[#This Row],[Group_Code]]=tblGroupTotals[Group_Code])*(tblGroupTotals[[#This Row],[Total_Penalties]]&lt;tblGroupTotals[Total_Penalties]))+1</calculatedColumnFormula>
    </tableColumn>
    <tableColumn id="36" xr3:uid="{264F3F0A-E2C3-4157-A3FB-98744C021E90}" name="Disciplinary_Points_Rank" dataDxfId="747">
      <calculatedColumnFormula array="1">SUMPRODUCT((tblGroupTotals[[#This Row],[Group_Code]]=tblGroupTotals[Group_Code])*(tblGroupTotals[[#This Row],[Total_Diciplinary_Points]]&gt;tblGroupTotals[Total_Diciplinary_Points]))+1</calculatedColumnFormula>
    </tableColumn>
    <tableColumn id="37" xr3:uid="{B9F68D65-11D3-4595-BD62-A523A34FFB40}" name="Euro_Qualify_Rank" dataDxfId="746">
      <calculatedColumnFormula array="1">SUMPRODUCT((tblGroupTotals[[#This Row],[Group_Code]]=tblGroupTotals[Group_Code])*(tblGroupTotals[[#This Row],[Qualifier_Rank_Position]]&gt;tblGroupTotals[Qualifier_Rank_Position]))+1</calculatedColumnFormula>
    </tableColumn>
    <tableColumn id="38" xr3:uid="{01861E5B-9D86-4476-80C1-400109075A67}" name="Total_Group_Rank_Value" dataDxfId="745">
      <calculatedColumnFormula>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calculatedColumnFormula>
    </tableColumn>
    <tableColumn id="39" xr3:uid="{3AD89A2C-72B3-4B0B-9CC2-CA610388D071}" name="Group_Rank" dataDxfId="744">
      <calculatedColumnFormula array="1">SUMPRODUCT((tblGroupTotals[[#This Row],[Group_Code]]=tblGroupTotals[Group_Code])*(tblGroupTotals[[#This Row],[Total_Group_Rank_Value]]&gt;tblGroupTotals[Total_Group_Rank_Value]))+1</calculatedColumnFormula>
    </tableColumn>
    <tableColumn id="40" xr3:uid="{78A02F75-217E-47DD-AFA1-8F6F85FE8AB9}" name="Table_Rank_Code" dataDxfId="615">
      <calculatedColumnFormula>tblGroupTotals[[#This Row],[Group_Code]]&amp;tblGroupTotals[[#This Row],[Group_Rank]]</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4D12FEE-1BF9-425C-A1FE-2DC13B9ED8E8}" name="tblGroupTieBreakRank" displayName="tblGroupTieBreakRank" ref="B2:AT26" totalsRowShown="0" headerRowDxfId="869" dataDxfId="868">
  <autoFilter ref="B2:AT26" xr:uid="{04D12FEE-1BF9-425C-A1FE-2DC13B9ED8E8}"/>
  <tableColumns count="45">
    <tableColumn id="1" xr3:uid="{BCBD2582-2455-43F9-854A-B1BF5CC99352}" name="Group_Code" dataDxfId="867"/>
    <tableColumn id="2" xr3:uid="{FC7AB84F-1B42-4D8C-ACED-7F3AC3C30A15}" name="Point_Rank" dataDxfId="866"/>
    <tableColumn id="7" xr3:uid="{883DA636-6FDD-4517-8D9F-725D822B5FE6}" name="Count" dataDxfId="865">
      <calculatedColumnFormula>COUNTIFS(tblGroupTotals[Group_Code],tblGroupTieBreakRank[[#This Row],[Group_Code]],tblGroupTotals[Group_Points_Rank],tblGroupTieBreakRank[[#This Row],[Point_Rank]])</calculatedColumnFormula>
    </tableColumn>
    <tableColumn id="49" xr3:uid="{EB3BF0D7-7B2F-4485-8607-7A5ADC4D2ACB}" name="Point_Rank_TRUE" dataDxfId="823">
      <calculatedColumnFormula>IF(AND(tblGroupTieBreakRank[[#This Row],[Count]]&gt;1,tblGroupTieBreakRank[[#This Row],[Count]]&lt;4),tblGroupTieBreakRank[[#This Row],[Point_Rank]],"")</calculatedColumnFormula>
    </tableColumn>
    <tableColumn id="50" xr3:uid="{C32817D5-D97B-4973-ABE0-BCA189AB1440}" name="Rank_Code" dataDxfId="824">
      <calculatedColumnFormula>IF(AND(tblGroupTieBreakRank[[#This Row],[Count]]&gt;1,tblGroupTieBreakRank[[#This Row],[Count]]&lt;4),tblGroupTieBreakRank[[#This Row],[Group_Code]]&amp;tblGroupTieBreakRank[[#This Row],[Point_Rank]],"")</calculatedColumnFormula>
    </tableColumn>
    <tableColumn id="3" xr3:uid="{30FF5457-EE29-41A0-8391-C7EE5ACE9D2A}" name="Team 1" dataDxfId="864">
      <calculatedColumnFormula>IFERROR(INDEX(tblGroupTotals[],MATCH(tblGroupTieBreakRank[[#This Row],[Group_Code]]&amp;tblGroupTieBreakRank[[#This Row],[Point_Rank]]&amp;"1",tblGroupTotals[Group_Points_Rank_Code],0),MATCH("Group_Number",tblGroupTotals[#Headers],0)),"")</calculatedColumnFormula>
    </tableColumn>
    <tableColumn id="4" xr3:uid="{DBE595A7-F901-45AC-9479-1A5EF30D37DF}" name="Team 2" dataDxfId="863">
      <calculatedColumnFormula>IFERROR(INDEX(tblGroupTotals[],MATCH(tblGroupTieBreakRank[[#This Row],[Group_Code]]&amp;tblGroupTieBreakRank[[#This Row],[Point_Rank]]&amp;"2",tblGroupTotals[Group_Points_Rank_Code],0),MATCH("Group_Number",tblGroupTotals[#Headers],0)),"")</calculatedColumnFormula>
    </tableColumn>
    <tableColumn id="5" xr3:uid="{6296F7C3-033D-4F44-B00B-11AE8EC38A58}" name="Team 3" dataDxfId="862">
      <calculatedColumnFormula>IFERROR(INDEX(tblGroupTotals[],MATCH(tblGroupTieBreakRank[[#This Row],[Group_Code]]&amp;tblGroupTieBreakRank[[#This Row],[Point_Rank]]&amp;"3",tblGroupTotals[Group_Points_Rank_Code],0),MATCH("Group_Number",tblGroupTotals[#Headers],0)),"")</calculatedColumnFormula>
    </tableColumn>
    <tableColumn id="6" xr3:uid="{B4859B74-255D-417F-9893-86C0E2719164}" name="Team 4" dataDxfId="861">
      <calculatedColumnFormula>IFERROR(INDEX(tblGroupTotals[],MATCH(tblGroupTieBreakRank[[#This Row],[Group_Code]]&amp;tblGroupTieBreakRank[[#This Row],[Point_Rank]]&amp;"4",tblGroupTotals[Group_Points_Rank_Code],0),MATCH("Group_Number",tblGroupTotals[#Headers],0)),"")</calculatedColumnFormula>
    </tableColumn>
    <tableColumn id="9" xr3:uid="{345690E6-5C7B-4F49-9C86-FE66B0401B7B}" name="Rank Team 1" dataDxfId="860">
      <calculatedColumnFormula>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calculatedColumnFormula>
    </tableColumn>
    <tableColumn id="10" xr3:uid="{CA7E3B3F-E8E9-4B3F-BA16-85FF62844A73}" name="Rank Team 2" dataDxfId="859">
      <calculatedColumnFormula>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calculatedColumnFormula>
    </tableColumn>
    <tableColumn id="11" xr3:uid="{51459D75-61AC-4EC6-A1E7-3D0B45B4EAD9}" name="Rank Team 3" dataDxfId="858">
      <calculatedColumnFormula>IF(tblGroupTieBreakRank[[#This Row],[Count]]&gt;=3,IF(AND(LEN(tblGroupTieBreakRank[[#This Row],[Team 3]])&gt;0,tblGroupTieBreakRank[[#This Row],[Team 3]]&lt;&gt;tblGroupTieBreakRank[[#This Row],[Rank Team 2]]),tblGroupTieBreakRank[[#This Row],[Team 3]],tblGroupTieBreakRank[[#This Row],[Team 4]]),"")</calculatedColumnFormula>
    </tableColumn>
    <tableColumn id="14" xr3:uid="{9E00F374-8C17-4A1E-A3A4-8961E944A111}" name="Match 1 Code" dataDxfId="857">
      <calculatedColumnFormula>IF(OR(tblGroupTieBreakRank[[#This Row],[Count]]=2,tblGroupTieBreakRank[[#This Row],[Count]]=3),tblGroupTieBreakRank[[#This Row],[Group_Code]]&amp;tblGroupTieBreakRank[[#This Row],[Rank Team 1]]&amp;tblGroupTieBreakRank[[#This Row],[Rank Team 2]],"")</calculatedColumnFormula>
    </tableColumn>
    <tableColumn id="15" xr3:uid="{7AD522A3-74C7-44BD-9C29-0A7B9CE43AC3}" name="Match 2 Code" dataDxfId="856">
      <calculatedColumnFormula>IF(tblGroupTieBreakRank[[#This Row],[Count]]=3,tblGroupTieBreakRank[[#This Row],[Group_Code]]&amp;tblGroupTieBreakRank[[#This Row],[Rank Team 1]]&amp;tblGroupTieBreakRank[[#This Row],[Rank Team 3]],"")</calculatedColumnFormula>
    </tableColumn>
    <tableColumn id="16" xr3:uid="{FD55DFF8-B757-4A16-87AC-7653EBACA75E}" name="Match 3 Code" dataDxfId="855">
      <calculatedColumnFormula>IF(tblGroupTieBreakRank[[#This Row],[Count]]=3,tblGroupTieBreakRank[[#This Row],[Group_Code]]&amp;tblGroupTieBreakRank[[#This Row],[Rank Team 2]]&amp;tblGroupTieBreakRank[[#This Row],[Rank Team 3]],"")</calculatedColumnFormula>
    </tableColumn>
    <tableColumn id="17" xr3:uid="{C029B649-D217-4F8B-BBFB-25DCBB9340E5}" name="Home Points Team 1" dataDxfId="854">
      <calculatedColumnFormula>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calculatedColumnFormula>
    </tableColumn>
    <tableColumn id="18" xr3:uid="{813F0A6D-F7DB-4697-8FB8-D14FA1DC09CD}" name="Away Points Team 1" dataDxfId="853">
      <calculatedColumnFormula>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calculatedColumnFormula>
    </tableColumn>
    <tableColumn id="20" xr3:uid="{DDC85F8E-16A6-4EDD-A2EF-B83C0903D0B0}" name="Home Goals For Team 1" dataDxfId="852">
      <calculatedColumnFormula>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calculatedColumnFormula>
    </tableColumn>
    <tableColumn id="21" xr3:uid="{4D086519-4DA7-456F-AE85-2F16157C76AD}" name="Home Goals Against Team 1" dataDxfId="851">
      <calculatedColumnFormula>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calculatedColumnFormula>
    </tableColumn>
    <tableColumn id="22" xr3:uid="{CBB34BBE-D456-4AA1-9E54-B3DFAB45EAB9}" name="Away Goals For Team 1" dataDxfId="850">
      <calculatedColumnFormula>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calculatedColumnFormula>
    </tableColumn>
    <tableColumn id="23" xr3:uid="{978B9763-D490-4CF0-AE3B-7B5A9D129A8F}" name="Away Goals Against Team 1" dataDxfId="849">
      <calculatedColumnFormula>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calculatedColumnFormula>
    </tableColumn>
    <tableColumn id="24" xr3:uid="{B193AE74-10DB-42A9-B3F4-BDF1B606C086}" name="Total Points Team 1" dataDxfId="848">
      <calculatedColumnFormula>SUM(tblGroupTieBreakRank[[#This Row],[Home Points Team 1]:[Away Points Team 1]])</calculatedColumnFormula>
    </tableColumn>
    <tableColumn id="25" xr3:uid="{4905A5CD-9A20-4677-902D-F81D4B6F0033}" name="Total Goals For Team 1" dataDxfId="847">
      <calculatedColumnFormula>SUM(tblGroupTieBreakRank[[#This Row],[Home Goals For Team 1]],tblGroupTieBreakRank[[#This Row],[Away Goals For Team 1]])</calculatedColumnFormula>
    </tableColumn>
    <tableColumn id="26" xr3:uid="{7BD5B215-6AED-4969-894B-122FD91332A7}" name="Total Goals Against Team 1" dataDxfId="846">
      <calculatedColumnFormula>SUM(tblGroupTieBreakRank[[#This Row],[Home Goals Against Team 1]],tblGroupTieBreakRank[[#This Row],[Away Goals Against Team 1]])</calculatedColumnFormula>
    </tableColumn>
    <tableColumn id="27" xr3:uid="{997DC0E5-9A46-4F29-BD65-73931FCF01B2}" name="Total Goal Difference Team 1" dataDxfId="845">
      <calculatedColumnFormula>tblGroupTieBreakRank[[#This Row],[Total Goals For Team 1]]-tblGroupTieBreakRank[[#This Row],[Total Goals Against Team 1]]</calculatedColumnFormula>
    </tableColumn>
    <tableColumn id="28" xr3:uid="{301ED231-29D1-4F94-96AB-991279BAECE1}" name="Home Points Team 2" dataDxfId="843">
      <calculatedColumnFormula>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calculatedColumnFormula>
    </tableColumn>
    <tableColumn id="29" xr3:uid="{FF4DB497-5B78-4290-8993-CCFCFA20EF6B}" name="Away Points Team 2" dataDxfId="841">
      <calculatedColumnFormula>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calculatedColumnFormula>
    </tableColumn>
    <tableColumn id="30" xr3:uid="{BA753522-401E-44C9-8D35-9322BE596F90}" name="Home Goals For Team 2" dataDxfId="838">
      <calculatedColumnFormula>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calculatedColumnFormula>
    </tableColumn>
    <tableColumn id="31" xr3:uid="{B64D99A5-07F1-4FA9-87AE-289652757B19}" name="Home Goals Against Team 2" dataDxfId="837">
      <calculatedColumnFormula>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calculatedColumnFormula>
    </tableColumn>
    <tableColumn id="32" xr3:uid="{D39C215C-D7CD-4D8C-AFB0-D65D26154DE2}" name="Away Goals For Team 2" dataDxfId="836">
      <calculatedColumnFormula>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calculatedColumnFormula>
    </tableColumn>
    <tableColumn id="33" xr3:uid="{FD61832F-B16F-4D39-87B7-3FFA6CB51264}" name="Away Goals Against Team 2" dataDxfId="835">
      <calculatedColumnFormula>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calculatedColumnFormula>
    </tableColumn>
    <tableColumn id="34" xr3:uid="{BCEB851C-D45F-4D39-A6C8-605FF3697A09}" name="Total Points Team 2" dataDxfId="840">
      <calculatedColumnFormula>SUM(tblGroupTieBreakRank[[#This Row],[Home Points Team 2]:[Away Points Team 2]])</calculatedColumnFormula>
    </tableColumn>
    <tableColumn id="35" xr3:uid="{15F0E7CB-857B-4EBB-A77D-7E2DBDE4B2FA}" name="Total Goals For Team 2" dataDxfId="834">
      <calculatedColumnFormula>SUM(tblGroupTieBreakRank[[#This Row],[Home Goals For Team 2]],tblGroupTieBreakRank[[#This Row],[Away Goals For Team 2]])</calculatedColumnFormula>
    </tableColumn>
    <tableColumn id="36" xr3:uid="{93D4B0EE-DA2F-49D3-A2D1-BA1D116F19D2}" name="Total Goals Against Team 2" dataDxfId="833">
      <calculatedColumnFormula>SUM(tblGroupTieBreakRank[[#This Row],[Home Goals Against Team 2]],tblGroupTieBreakRank[[#This Row],[Away Goals Against Team 2]])</calculatedColumnFormula>
    </tableColumn>
    <tableColumn id="37" xr3:uid="{80B70FAE-E1A9-46E6-A563-673DF40DC667}" name="Total Goal Difference Team 2" dataDxfId="832">
      <calculatedColumnFormula>tblGroupTieBreakRank[[#This Row],[Total Goals For Team 2]]-tblGroupTieBreakRank[[#This Row],[Total Goals Against Team 2]]</calculatedColumnFormula>
    </tableColumn>
    <tableColumn id="38" xr3:uid="{EF45F398-F8C2-47F0-AB6F-78ADA3302AB2}" name="Home Points Team 3" dataDxfId="844">
      <calculatedColumnFormula>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calculatedColumnFormula>
    </tableColumn>
    <tableColumn id="39" xr3:uid="{11D72A2B-F4D3-445E-BFF6-3B2A54B6FFCF}" name="Away Points Team 3" dataDxfId="842">
      <calculatedColumnFormula>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calculatedColumnFormula>
    </tableColumn>
    <tableColumn id="40" xr3:uid="{1A20859F-6823-4F7E-A7D2-0D6DD1B448B4}" name="Home Goals For Team 3" dataDxfId="831">
      <calculatedColumnFormula>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calculatedColumnFormula>
    </tableColumn>
    <tableColumn id="41" xr3:uid="{9DEDECB5-5D1A-4112-AB2B-7DDD08C008C5}" name="Home Goals Against Team 3" dataDxfId="830">
      <calculatedColumnFormula>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calculatedColumnFormula>
    </tableColumn>
    <tableColumn id="42" xr3:uid="{BB0932A5-22E3-4CD2-8D57-AEEBAA46CC31}" name="Away Goals For Team 3" dataDxfId="829">
      <calculatedColumnFormula>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calculatedColumnFormula>
    </tableColumn>
    <tableColumn id="43" xr3:uid="{8D1E59C7-8B01-426A-AC0C-B2A4D98E7E02}" name="Away Goals Against Team 3" dataDxfId="828">
      <calculatedColumnFormula>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calculatedColumnFormula>
    </tableColumn>
    <tableColumn id="44" xr3:uid="{E91CEF3B-2185-4114-BB7D-1E36CF744690}" name="Total Points Team 3" dataDxfId="839">
      <calculatedColumnFormula>SUM(tblGroupTieBreakRank[[#This Row],[Home Points Team 3]:[Away Points Team 3]])</calculatedColumnFormula>
    </tableColumn>
    <tableColumn id="45" xr3:uid="{F505060F-0F09-4C6E-8178-D682AAAC50C3}" name="Total Goals For Team 3" dataDxfId="827">
      <calculatedColumnFormula>SUM(tblGroupTieBreakRank[[#This Row],[Home Goals For Team 3]],tblGroupTieBreakRank[[#This Row],[Away Goals For Team 3]])</calculatedColumnFormula>
    </tableColumn>
    <tableColumn id="46" xr3:uid="{9F798C2E-5181-4ED8-A31A-3B024EE4007D}" name="Total Goals Against Team 3" dataDxfId="826">
      <calculatedColumnFormula>SUM(tblGroupTieBreakRank[[#This Row],[Home Goals Against Team 3]],tblGroupTieBreakRank[[#This Row],[Away Goals Against Team 3]])</calculatedColumnFormula>
    </tableColumn>
    <tableColumn id="47" xr3:uid="{262101E5-2C80-46F2-ABC0-BB772124CC65}" name="Total Goal Difference Team 3" dataDxfId="825">
      <calculatedColumnFormula>tblGroupTieBreakRank[[#This Row],[Total Goals For Team 3]]-tblGroupTieBreakRank[[#This Row],[Total Goals Against Team 3]]</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FA63F85-1B04-403A-8661-0E931D90F5E8}" name="tblTieBreakA1" displayName="tblTieBreakA1" ref="B3:O6" totalsRowShown="0" headerRowDxfId="814" dataDxfId="813">
  <autoFilter ref="B3:O6" xr:uid="{FFA63F85-1B04-403A-8661-0E931D90F5E8}"/>
  <tableColumns count="14">
    <tableColumn id="5" xr3:uid="{99EC2010-942F-4304-BFEF-5056AD68A78C}" name="Number" dataDxfId="822"/>
    <tableColumn id="1" xr3:uid="{B2C06F5F-F6B1-482A-974F-98897202643C}" name="Group_Code" dataDxfId="821"/>
    <tableColumn id="2" xr3:uid="{DDA1B25A-7980-404B-8290-95E73466601A}" name="Point_Rank" dataDxfId="820">
      <calculatedColumnFormula>_xlfn.MINIFS(tblGroupTieBreakRank[Point_Rank_TRUE],tblGroupTieBreakRank[Group_Code],tblTieBreakA1[[#This Row],[Group_Code]])</calculatedColumnFormula>
    </tableColumn>
    <tableColumn id="4" xr3:uid="{9327C718-00E0-40B6-AC64-5E8396F29982}" name="Rank_Count" dataDxfId="819">
      <calculatedColumnFormula>INDEX(tblGroupTieBreakRank[],MATCH(tblTieBreakA1[[#This Row],[Group_Code]]&amp;tblTieBreakA1[[#This Row],[Point_Rank]],tblGroupTieBreakRank[Rank_Code],0),MATCH("Count",tblGroupTieBreakRank[#Headers],0))</calculatedColumnFormula>
    </tableColumn>
    <tableColumn id="3" xr3:uid="{669F76DB-085C-41A5-8A64-34993767C3F1}" name="Group_Number" dataDxfId="818"/>
    <tableColumn id="14" xr3:uid="{E7F76D4F-A3E7-4F62-8532-1C6BCB066A0A}" name="Team_Code" dataDxfId="807">
      <calculatedColumnFormula>IF(LEN(tblTieBreakA1[[#This Row],[Group_Number]])&gt;0,tblTieBreakA1[[#This Row],[Group_Code]]&amp;tblTieBreakA1[[#This Row],[Group_Number]],"")</calculatedColumnFormula>
    </tableColumn>
    <tableColumn id="6" xr3:uid="{F0B87844-54BA-4323-99CE-D22F687E51C2}" name="Total_Points" dataDxfId="817"/>
    <tableColumn id="7" xr3:uid="{0E363804-65E7-4BC6-8F41-6C8725F08ACA}" name="Total_Goal_Difference" dataDxfId="816"/>
    <tableColumn id="8" xr3:uid="{66F1E646-789E-4041-B1B8-B886B1AAE508}" name="Total_Goals_For" dataDxfId="815"/>
    <tableColumn id="9" xr3:uid="{B7D45643-EA46-42A0-B221-B2AEACBE74CB}" name="Rank_Points" dataDxfId="812">
      <calculatedColumnFormula array="1">SUMPRODUCT((tblTieBreakA1[[#This Row],[Group_Code]]=tblTieBreakA1[Group_Code])*(tblTieBreakA1[[#This Row],[Total_Points]]&lt;tblTieBreakA1[Total_Points]))+1</calculatedColumnFormula>
    </tableColumn>
    <tableColumn id="10" xr3:uid="{70E7CC1C-4397-4099-BD60-6E64C30A1CBB}" name="Rank_Goal_Difference" dataDxfId="811">
      <calculatedColumnFormula array="1">SUMPRODUCT((tblTieBreakA1[[#This Row],[Group_Code]]=tblTieBreakA1[Group_Code])*(tblTieBreakA1[[#This Row],[Total_Goal_Difference]]&lt;tblTieBreakA1[Total_Goal_Difference]))+1</calculatedColumnFormula>
    </tableColumn>
    <tableColumn id="11" xr3:uid="{1522A2FF-FE14-410F-AD67-B6D5E1F979E2}" name="Rank_Goals_For" dataDxfId="810">
      <calculatedColumnFormula array="1">SUMPRODUCT((tblTieBreakA1[[#This Row],[Group_Code]]=tblTieBreakA1[Group_Code])*(tblTieBreakA1[[#This Row],[Total_Goals_For]]&lt;tblTieBreakA1[Total_Goals_For]))+1</calculatedColumnFormula>
    </tableColumn>
    <tableColumn id="12" xr3:uid="{6C36C174-D6E4-40CA-A7F5-2706EBF1A2EE}" name="Rank_All_Value" dataDxfId="809">
      <calculatedColumnFormula>IF(LEN(tblTieBreakA1[[#This Row],[Group_Number]])&gt;0,1,2)&amp;tblTieBreakA1[[#This Row],[Rank_Points]]&amp;tblTieBreakA1[[#This Row],[Rank_Goal_Difference]]&amp;tblTieBreakA1[[#This Row],[Rank_Goals_For]]</calculatedColumnFormula>
    </tableColumn>
    <tableColumn id="13" xr3:uid="{AE0118D0-7FDD-48D3-BED1-0DA5FFA623B2}" name="TieBreak_Rank" dataDxfId="808">
      <calculatedColumnFormula array="1">SUMPRODUCT((tblTieBreakA1[[#This Row],[Group_Code]]=tblTieBreakA1[Group_Code])*(tblTieBreakA1[[#This Row],[Rank_All_Value]]&gt;tblTieBreakA1[Rank_All_Value]))+1</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5B92316-AD59-45C0-8B55-2835A93A4333}" name="tblTieBreakA2" displayName="tblTieBreakA2" ref="B8:O11" totalsRowShown="0" headerRowDxfId="806" dataDxfId="805">
  <autoFilter ref="B8:O11" xr:uid="{05B92316-AD59-45C0-8B55-2835A93A4333}"/>
  <tableColumns count="14">
    <tableColumn id="5" xr3:uid="{37FED195-2E1B-4326-8095-C4A5D962CAB9}" name="Number" dataDxfId="804"/>
    <tableColumn id="1" xr3:uid="{60E94585-2D20-4560-ACDB-805C95C4B556}" name="Group_Code" dataDxfId="803"/>
    <tableColumn id="2" xr3:uid="{9E10FC28-4A24-4B69-B07D-E9D2E9D4BE2E}" name="Point_Rank" dataDxfId="802">
      <calculatedColumnFormula>_xlfn.MAXIFS(tblGroupTieBreakRank[Point_Rank_TRUE],tblGroupTieBreakRank[Group_Code],tblTieBreakA2[[#This Row],[Group_Code]])</calculatedColumnFormula>
    </tableColumn>
    <tableColumn id="4" xr3:uid="{2F0E6E7A-8448-42BF-A328-22FEE4385AFD}" name="Rank_Count" dataDxfId="801">
      <calculatedColumnFormula>INDEX(tblGroupTieBreakRank[],MATCH(tblTieBreakA2[[#This Row],[Group_Code]]&amp;tblTieBreakA2[[#This Row],[Point_Rank]],tblGroupTieBreakRank[Rank_Code],0),MATCH("Count",tblGroupTieBreakRank[#Headers],0))</calculatedColumnFormula>
    </tableColumn>
    <tableColumn id="3" xr3:uid="{E94CA585-6F2C-471E-A495-8A2C3AC49479}" name="Group_Number" dataDxfId="800"/>
    <tableColumn id="14" xr3:uid="{C7986751-3171-4D8D-A4D7-B74DBC134334}" name="Team_Code" dataDxfId="799">
      <calculatedColumnFormula>IF(LEN(tblTieBreakA2[[#This Row],[Group_Number]])&gt;0,tblTieBreakA2[[#This Row],[Group_Code]]&amp;tblTieBreakA2[[#This Row],[Group_Number]],"")</calculatedColumnFormula>
    </tableColumn>
    <tableColumn id="6" xr3:uid="{7666C024-EB0D-4F64-A4FB-59FC1B88BF4E}" name="Total_Points" dataDxfId="798"/>
    <tableColumn id="7" xr3:uid="{08AFA7B0-EF25-42D6-AC72-DFC87DB52001}" name="Total_Goal_Difference" dataDxfId="797"/>
    <tableColumn id="8" xr3:uid="{17BBDB84-509C-44D4-A4CE-E52B1E984912}" name="Total_Goals_For" dataDxfId="796"/>
    <tableColumn id="9" xr3:uid="{AFCFFBBE-ABAC-4A76-A4DD-4F6C3684A9FF}" name="Rank_Points" dataDxfId="795">
      <calculatedColumnFormula array="1">SUMPRODUCT((tblTieBreakA2[[#This Row],[Group_Code]]=tblTieBreakA2[Group_Code])*(tblTieBreakA2[[#This Row],[Total_Points]]&lt;tblTieBreakA2[Total_Points]))+1</calculatedColumnFormula>
    </tableColumn>
    <tableColumn id="10" xr3:uid="{1387973E-92DD-498A-B263-BE88139D5AA2}" name="Rank_Goal_Difference" dataDxfId="794">
      <calculatedColumnFormula array="1">SUMPRODUCT((tblTieBreakA2[[#This Row],[Group_Code]]=tblTieBreakA2[Group_Code])*(tblTieBreakA2[[#This Row],[Total_Goal_Difference]]&lt;tblTieBreakA2[Total_Goal_Difference]))+1</calculatedColumnFormula>
    </tableColumn>
    <tableColumn id="11" xr3:uid="{461F1B89-2942-4306-A127-C5C452911C8E}" name="Rank_Goals_For" dataDxfId="793">
      <calculatedColumnFormula array="1">SUMPRODUCT((tblTieBreakA2[[#This Row],[Group_Code]]=tblTieBreakA2[Group_Code])*(tblTieBreakA2[[#This Row],[Total_Goals_For]]&lt;tblTieBreakA2[Total_Goals_For]))+1</calculatedColumnFormula>
    </tableColumn>
    <tableColumn id="12" xr3:uid="{A5A931DB-54A9-4C70-94BA-BCDAB37D82A9}" name="Rank_All_Value" dataDxfId="792">
      <calculatedColumnFormula>VALUE(IF(LEN(tblTieBreakA2[[#This Row],[Group_Number]])&gt;0,1,2)&amp;tblTieBreakA2[[#This Row],[Rank_Points]]&amp;tblTieBreakA2[[#This Row],[Rank_Goal_Difference]]&amp;tblTieBreakA2[[#This Row],[Rank_Goals_For]])</calculatedColumnFormula>
    </tableColumn>
    <tableColumn id="13" xr3:uid="{FAAC9519-2729-43E9-BD88-6B397B0003E9}" name="TieBreak_Rank" dataDxfId="791">
      <calculatedColumnFormula array="1">SUMPRODUCT((tblTieBreakA2[[#This Row],[Group_Code]]=tblTieBreakA2[Group_Code])*(tblTieBreakA2[[#This Row],[Rank_All_Value]]&gt;tblTieBreakA2[Rank_All_Value]))+1</calculatedColumn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FB98CFE-6236-468C-BE45-19740CA28162}" name="tblTieBreakB1" displayName="tblTieBreakB1" ref="B14:O17" totalsRowShown="0" headerRowDxfId="790" dataDxfId="789">
  <autoFilter ref="B14:O17" xr:uid="{8FB98CFE-6236-468C-BE45-19740CA28162}"/>
  <tableColumns count="14">
    <tableColumn id="5" xr3:uid="{27C3349F-9AA7-4812-AF35-A0F42CC91E8B}" name="Number" dataDxfId="788"/>
    <tableColumn id="1" xr3:uid="{C35583EA-4FF1-4D15-A0B1-A8B64BCE2CF5}" name="Group_Code" dataDxfId="787"/>
    <tableColumn id="2" xr3:uid="{82464E64-15B4-439A-BF1B-234C91D61909}" name="Point_Rank" dataDxfId="786">
      <calculatedColumnFormula>_xlfn.MINIFS(tblGroupTieBreakRank[Point_Rank_TRUE],tblGroupTieBreakRank[Group_Code],tblTieBreakB1[[#This Row],[Group_Code]])</calculatedColumnFormula>
    </tableColumn>
    <tableColumn id="4" xr3:uid="{59AD672C-DF20-4C56-B74D-0A45DB69823D}" name="Rank_Count" dataDxfId="785">
      <calculatedColumnFormula>INDEX(tblGroupTieBreakRank[],MATCH(tblTieBreakB1[[#This Row],[Group_Code]]&amp;tblTieBreakB1[[#This Row],[Point_Rank]],tblGroupTieBreakRank[Rank_Code],0),MATCH("Count",tblGroupTieBreakRank[#Headers],0))</calculatedColumnFormula>
    </tableColumn>
    <tableColumn id="3" xr3:uid="{1AB2E357-3FEA-425C-99A5-996953CF3AB7}" name="Group_Number" dataDxfId="784"/>
    <tableColumn id="14" xr3:uid="{86B1F496-8A97-4937-B98A-D3E3BEF051CA}" name="Team_Code" dataDxfId="783">
      <calculatedColumnFormula>IF(LEN(tblTieBreakB1[[#This Row],[Group_Number]])&gt;0,tblTieBreakB1[[#This Row],[Group_Code]]&amp;tblTieBreakB1[[#This Row],[Group_Number]],"")</calculatedColumnFormula>
    </tableColumn>
    <tableColumn id="6" xr3:uid="{DCC3AAD3-BA99-4372-9D98-8274A7396705}" name="Total_Points" dataDxfId="782"/>
    <tableColumn id="7" xr3:uid="{4D873C1E-2186-4B1E-A357-A24685C037F4}" name="Total_Goal_Difference" dataDxfId="781"/>
    <tableColumn id="8" xr3:uid="{371673B0-D6E1-4D20-9988-E1FE5AD43886}" name="Total_Goals_For" dataDxfId="780"/>
    <tableColumn id="9" xr3:uid="{8AE633EC-D4E7-4BC1-AFD2-9C62AD7CE639}" name="Rank_Points" dataDxfId="779">
      <calculatedColumnFormula array="1">SUMPRODUCT((tblTieBreakB1[[#This Row],[Group_Code]]=tblTieBreakB1[Group_Code])*(tblTieBreakB1[[#This Row],[Total_Points]]&lt;tblTieBreakB1[Total_Points]))+1</calculatedColumnFormula>
    </tableColumn>
    <tableColumn id="10" xr3:uid="{4217C462-D895-41F2-9EC2-98435656D88C}" name="Rank_Goal_Difference" dataDxfId="778">
      <calculatedColumnFormula array="1">SUMPRODUCT((tblTieBreakB1[[#This Row],[Group_Code]]=tblTieBreakB1[Group_Code])*(tblTieBreakB1[[#This Row],[Total_Goal_Difference]]&lt;tblTieBreakB1[Total_Goal_Difference]))+1</calculatedColumnFormula>
    </tableColumn>
    <tableColumn id="11" xr3:uid="{47EC3690-CEEC-4642-9ED1-FE33A74C05E9}" name="Rank_Goals_For" dataDxfId="777">
      <calculatedColumnFormula array="1">SUMPRODUCT((tblTieBreakB1[[#This Row],[Group_Code]]=tblTieBreakB1[Group_Code])*(tblTieBreakB1[[#This Row],[Total_Goals_For]]&lt;tblTieBreakB1[Total_Goals_For]))+1</calculatedColumnFormula>
    </tableColumn>
    <tableColumn id="12" xr3:uid="{CAAB5CC8-1C4E-4928-8DB5-1684268E5B0B}" name="Rank_All_Value" dataDxfId="776">
      <calculatedColumnFormula>VALUE(IF(LEN(tblTieBreakB1[[#This Row],[Group_Number]])&gt;0,1,2)&amp;tblTieBreakB1[[#This Row],[Rank_Points]]&amp;tblTieBreakB1[[#This Row],[Rank_Goal_Difference]]&amp;tblTieBreakB1[[#This Row],[Rank_Goals_For]])</calculatedColumnFormula>
    </tableColumn>
    <tableColumn id="13" xr3:uid="{AFC48E93-3FCF-4016-A53A-12169D8E22DB}" name="TieBreak_Rank" dataDxfId="775">
      <calculatedColumnFormula array="1">SUMPRODUCT((tblTieBreakB1[[#This Row],[Group_Code]]=tblTieBreakB1[Group_Code])*(tblTieBreakB1[[#This Row],[Rank_All_Value]]&gt;tblTieBreakB1[Rank_All_Value]))+1</calculatedColumn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0C2293B-0C4B-48A1-8782-EFA93C58C332}" name="tblTieBreakB2" displayName="tblTieBreakB2" ref="B19:O22" totalsRowShown="0" headerRowDxfId="774" dataDxfId="773">
  <autoFilter ref="B19:O22" xr:uid="{40C2293B-0C4B-48A1-8782-EFA93C58C332}"/>
  <tableColumns count="14">
    <tableColumn id="5" xr3:uid="{6B599DFC-88BF-4498-A841-9C7DA14A2057}" name="Number" dataDxfId="772"/>
    <tableColumn id="1" xr3:uid="{8E666807-B1EA-403A-B464-CE5103A89637}" name="Group_Code" dataDxfId="771"/>
    <tableColumn id="2" xr3:uid="{3964C474-340C-455E-AD87-66EA8E7460FE}" name="Point_Rank" dataDxfId="770">
      <calculatedColumnFormula>_xlfn.MAXIFS(tblGroupTieBreakRank[Point_Rank_TRUE],tblGroupTieBreakRank[Group_Code],tblTieBreakB2[[#This Row],[Group_Code]])</calculatedColumnFormula>
    </tableColumn>
    <tableColumn id="4" xr3:uid="{09F8AB62-638E-4A73-94DC-30260EB9EEA2}" name="Rank_Count" dataDxfId="769">
      <calculatedColumnFormula>INDEX(tblGroupTieBreakRank[],MATCH(tblTieBreakB2[[#This Row],[Group_Code]]&amp;tblTieBreakB2[[#This Row],[Point_Rank]],tblGroupTieBreakRank[Rank_Code],0),MATCH("Count",tblGroupTieBreakRank[#Headers],0))</calculatedColumnFormula>
    </tableColumn>
    <tableColumn id="3" xr3:uid="{694BEF37-0F72-4D97-8F4B-E28194BD17B4}" name="Group_Number" dataDxfId="768"/>
    <tableColumn id="14" xr3:uid="{B032411F-2881-45F5-BEE4-CF44AFD9D59F}" name="Team_Code" dataDxfId="767">
      <calculatedColumnFormula>IF(LEN(tblTieBreakB2[[#This Row],[Group_Number]])&gt;0,tblTieBreakB2[[#This Row],[Group_Code]]&amp;tblTieBreakB2[[#This Row],[Group_Number]],"")</calculatedColumnFormula>
    </tableColumn>
    <tableColumn id="6" xr3:uid="{7FB17AEC-B5F7-4D61-8558-EA8C109E5271}" name="Total_Points" dataDxfId="766"/>
    <tableColumn id="7" xr3:uid="{A0027E3D-0C25-4F67-AD57-6AD4B7DDB875}" name="Total_Goal_Difference" dataDxfId="765"/>
    <tableColumn id="8" xr3:uid="{5DB039A7-0E26-4F40-BE4A-8B3722775B9A}" name="Total_Goals_For" dataDxfId="764"/>
    <tableColumn id="9" xr3:uid="{B49861A0-EF34-4720-A39D-899502F8A601}" name="Rank_Points" dataDxfId="763">
      <calculatedColumnFormula array="1">SUMPRODUCT((tblTieBreakB2[[#This Row],[Group_Code]]=tblTieBreakB2[Group_Code])*(tblTieBreakB2[[#This Row],[Total_Points]]&lt;tblTieBreakB2[Total_Points]))+1</calculatedColumnFormula>
    </tableColumn>
    <tableColumn id="10" xr3:uid="{07599395-B860-4547-AAE5-F69818E5C486}" name="Rank_Goal_Difference" dataDxfId="762">
      <calculatedColumnFormula array="1">SUMPRODUCT((tblTieBreakB2[[#This Row],[Group_Code]]=tblTieBreakB2[Group_Code])*(tblTieBreakB2[[#This Row],[Total_Goal_Difference]]&lt;tblTieBreakB2[Total_Goal_Difference]))+1</calculatedColumnFormula>
    </tableColumn>
    <tableColumn id="11" xr3:uid="{CB4A3E18-14E1-48EB-BC16-3F9728D65040}" name="Rank_Goals_For" dataDxfId="761">
      <calculatedColumnFormula array="1">SUMPRODUCT((tblTieBreakB2[[#This Row],[Group_Code]]=tblTieBreakB2[Group_Code])*(tblTieBreakB2[[#This Row],[Total_Goals_For]]&lt;tblTieBreakB2[Total_Goals_For]))+1</calculatedColumnFormula>
    </tableColumn>
    <tableColumn id="12" xr3:uid="{09124CC6-0B3C-4A18-BC6E-AB6177A287E6}" name="Rank_All_Value" dataDxfId="760">
      <calculatedColumnFormula>VALUE(IF(LEN(tblTieBreakB2[[#This Row],[Group_Number]])&gt;0,1,2)&amp;tblTieBreakB2[[#This Row],[Rank_Points]]&amp;tblTieBreakB2[[#This Row],[Rank_Goal_Difference]]&amp;tblTieBreakB2[[#This Row],[Rank_Goals_For]])</calculatedColumnFormula>
    </tableColumn>
    <tableColumn id="13" xr3:uid="{BB511CB3-0CCF-432E-B014-C2C5630A0794}" name="TieBreak_Rank" dataDxfId="759">
      <calculatedColumnFormula array="1">SUMPRODUCT((tblTieBreakB2[[#This Row],[Group_Code]]=tblTieBreakB2[Group_Code])*(tblTieBreakB2[[#This Row],[Rank_All_Value]]&gt;tblTieBreakB2[Rank_All_Value]))+1</calculatedColumnFormula>
    </tableColumn>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45C8EC2-DFDE-4885-AD67-6E149E9A3174}" name="tblTieBreakC1" displayName="tblTieBreakC1" ref="B25:O28" totalsRowShown="0" headerRowDxfId="743" dataDxfId="742">
  <autoFilter ref="B25:O28" xr:uid="{945C8EC2-DFDE-4885-AD67-6E149E9A3174}"/>
  <tableColumns count="14">
    <tableColumn id="5" xr3:uid="{A2ED02AB-326A-4C09-8512-7793DE9787FB}" name="Number" dataDxfId="741"/>
    <tableColumn id="1" xr3:uid="{C072F253-4709-461A-A13A-3C6C68932B83}" name="Group_Code" dataDxfId="740"/>
    <tableColumn id="2" xr3:uid="{9183A2B3-01A4-46C0-890C-F755E53D0F2E}" name="Point_Rank" dataDxfId="739">
      <calculatedColumnFormula>_xlfn.MINIFS(tblGroupTieBreakRank[Point_Rank_TRUE],tblGroupTieBreakRank[Group_Code],tblTieBreakC1[[#This Row],[Group_Code]])</calculatedColumnFormula>
    </tableColumn>
    <tableColumn id="4" xr3:uid="{3DA111D9-0FCC-4270-9BC9-B3369CF82AED}" name="Rank_Count" dataDxfId="738">
      <calculatedColumnFormula>INDEX(tblGroupTieBreakRank[],MATCH(tblTieBreakC1[[#This Row],[Group_Code]]&amp;tblTieBreakC1[[#This Row],[Point_Rank]],tblGroupTieBreakRank[Rank_Code],0),MATCH("Count",tblGroupTieBreakRank[#Headers],0))</calculatedColumnFormula>
    </tableColumn>
    <tableColumn id="3" xr3:uid="{655E33BC-F89D-4BE9-B3C1-6CC19EE21384}" name="Group_Number" dataDxfId="737"/>
    <tableColumn id="14" xr3:uid="{0B448AC8-4C62-44F1-A380-8C57E8CF8274}" name="Team_Code" dataDxfId="736">
      <calculatedColumnFormula>IF(LEN(tblTieBreakC1[[#This Row],[Group_Number]])&gt;0,tblTieBreakC1[[#This Row],[Group_Code]]&amp;tblTieBreakC1[[#This Row],[Group_Number]],"")</calculatedColumnFormula>
    </tableColumn>
    <tableColumn id="6" xr3:uid="{667C8252-9D6E-400C-9E81-D6C948D99A7F}" name="Total_Points" dataDxfId="735"/>
    <tableColumn id="7" xr3:uid="{163F5EB3-F301-4E29-BDB5-C60A0F4FA69D}" name="Total_Goal_Difference" dataDxfId="734"/>
    <tableColumn id="8" xr3:uid="{0FB6DE15-3328-4A60-9694-BDC5E33ABEFD}" name="Total_Goals_For" dataDxfId="733"/>
    <tableColumn id="9" xr3:uid="{86BA7DB5-1168-446E-A7E9-BCE58C35E62E}" name="Rank_Points" dataDxfId="732">
      <calculatedColumnFormula array="1">SUMPRODUCT((tblTieBreakC1[[#This Row],[Group_Code]]=tblTieBreakC1[Group_Code])*(tblTieBreakC1[[#This Row],[Total_Points]]&lt;tblTieBreakC1[Total_Points]))+1</calculatedColumnFormula>
    </tableColumn>
    <tableColumn id="10" xr3:uid="{77EB3A60-05CF-46D7-B9B1-075CE4CF3F3B}" name="Rank_Goal_Difference" dataDxfId="731">
      <calculatedColumnFormula array="1">SUMPRODUCT((tblTieBreakC1[[#This Row],[Group_Code]]=tblTieBreakC1[Group_Code])*(tblTieBreakC1[[#This Row],[Total_Goal_Difference]]&lt;tblTieBreakC1[Total_Goal_Difference]))+1</calculatedColumnFormula>
    </tableColumn>
    <tableColumn id="11" xr3:uid="{A7BEDBD0-0592-4654-B432-41B801AA9DA9}" name="Rank_Goals_For" dataDxfId="730">
      <calculatedColumnFormula array="1">SUMPRODUCT((tblTieBreakC1[[#This Row],[Group_Code]]=tblTieBreakC1[Group_Code])*(tblTieBreakC1[[#This Row],[Total_Goals_For]]&lt;tblTieBreakC1[Total_Goals_For]))+1</calculatedColumnFormula>
    </tableColumn>
    <tableColumn id="12" xr3:uid="{A094E2FE-8E8B-4270-83CF-1ED4ACAAFA14}" name="Rank_All_Value" dataDxfId="729">
      <calculatedColumnFormula>VALUE(IF(LEN(tblTieBreakC1[[#This Row],[Group_Number]])&gt;0,1,2)&amp;tblTieBreakC1[[#This Row],[Rank_Points]]&amp;tblTieBreakC1[[#This Row],[Rank_Goal_Difference]]&amp;tblTieBreakC1[[#This Row],[Rank_Goals_For]])</calculatedColumnFormula>
    </tableColumn>
    <tableColumn id="13" xr3:uid="{9A71BD6D-7B9B-45DE-93A7-B68E8C755DDC}" name="TieBreak_Rank" dataDxfId="728">
      <calculatedColumnFormula array="1">SUMPRODUCT((tblTieBreakC1[[#This Row],[Group_Code]]=tblTieBreakC1[Group_Code])*(tblTieBreakC1[[#This Row],[Rank_All_Value]]&gt;tblTieBreakC1[Rank_All_Value]))+1</calculatedColumnFormula>
    </tableColumn>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1A51EF5-955D-4F38-B77E-983A989DF8AF}" name="tblTieBreakC2" displayName="tblTieBreakC2" ref="B30:O33" totalsRowShown="0" headerRowDxfId="727" dataDxfId="726">
  <autoFilter ref="B30:O33" xr:uid="{31A51EF5-955D-4F38-B77E-983A989DF8AF}"/>
  <tableColumns count="14">
    <tableColumn id="5" xr3:uid="{B54518FC-40A9-4F10-B408-A334AC359453}" name="Number" dataDxfId="725"/>
    <tableColumn id="1" xr3:uid="{9CB16125-503A-4E46-BF13-6E13ABFAA787}" name="Group_Code" dataDxfId="724"/>
    <tableColumn id="2" xr3:uid="{50EDE097-BD4D-4857-A8C4-2A200B1BD901}" name="Point_Rank" dataDxfId="723">
      <calculatedColumnFormula>_xlfn.MAXIFS(tblGroupTieBreakRank[Point_Rank_TRUE],tblGroupTieBreakRank[Group_Code],tblTieBreakC2[[#This Row],[Group_Code]])</calculatedColumnFormula>
    </tableColumn>
    <tableColumn id="4" xr3:uid="{FDCB38D1-BD38-4DA4-91FE-B41EEE71B25D}" name="Rank_Count" dataDxfId="722">
      <calculatedColumnFormula>INDEX(tblGroupTieBreakRank[],MATCH(tblTieBreakC2[[#This Row],[Group_Code]]&amp;tblTieBreakC2[[#This Row],[Point_Rank]],tblGroupTieBreakRank[Rank_Code],0),MATCH("Count",tblGroupTieBreakRank[#Headers],0))</calculatedColumnFormula>
    </tableColumn>
    <tableColumn id="3" xr3:uid="{AF2FFCD2-E2A2-4754-A041-04BB53D56B24}" name="Group_Number" dataDxfId="721"/>
    <tableColumn id="14" xr3:uid="{0611973D-5E0A-416B-9DC0-FB410E1C8B1F}" name="Team_Code" dataDxfId="720">
      <calculatedColumnFormula>IF(LEN(tblTieBreakC2[[#This Row],[Group_Number]])&gt;0,tblTieBreakC2[[#This Row],[Group_Code]]&amp;tblTieBreakC2[[#This Row],[Group_Number]],"")</calculatedColumnFormula>
    </tableColumn>
    <tableColumn id="6" xr3:uid="{9B41BF35-9E66-44FB-B0D2-4E76CE20CF33}" name="Total_Points" dataDxfId="719"/>
    <tableColumn id="7" xr3:uid="{BC2DFE57-C915-42FB-8EF6-B7B28C31EF8C}" name="Total_Goal_Difference" dataDxfId="718"/>
    <tableColumn id="8" xr3:uid="{EC768DF1-D3ED-41AD-B15C-AC0E20FC5FEA}" name="Total_Goals_For" dataDxfId="717"/>
    <tableColumn id="9" xr3:uid="{BC135D4E-2976-4267-8509-28C766CBDE7A}" name="Rank_Points" dataDxfId="716">
      <calculatedColumnFormula array="1">SUMPRODUCT((tblTieBreakC2[[#This Row],[Group_Code]]=tblTieBreakC2[Group_Code])*(tblTieBreakC2[[#This Row],[Total_Points]]&lt;tblTieBreakC2[Total_Points]))+1</calculatedColumnFormula>
    </tableColumn>
    <tableColumn id="10" xr3:uid="{5E4F6E32-2C32-4E5D-9C19-38E2B30892F0}" name="Rank_Goal_Difference" dataDxfId="715">
      <calculatedColumnFormula array="1">SUMPRODUCT((tblTieBreakC2[[#This Row],[Group_Code]]=tblTieBreakC2[Group_Code])*(tblTieBreakC2[[#This Row],[Total_Goal_Difference]]&lt;tblTieBreakC2[Total_Goal_Difference]))+1</calculatedColumnFormula>
    </tableColumn>
    <tableColumn id="11" xr3:uid="{8F836B89-33CB-4436-A307-115BFE02C400}" name="Rank_Goals_For" dataDxfId="714">
      <calculatedColumnFormula array="1">SUMPRODUCT((tblTieBreakC2[[#This Row],[Group_Code]]=tblTieBreakC2[Group_Code])*(tblTieBreakC2[[#This Row],[Total_Goals_For]]&lt;tblTieBreakC2[Total_Goals_For]))+1</calculatedColumnFormula>
    </tableColumn>
    <tableColumn id="12" xr3:uid="{D61AB5BD-194F-4B4A-A130-F1C798792C72}" name="Rank_All_Value" dataDxfId="713">
      <calculatedColumnFormula>VALUE(IF(LEN(tblTieBreakC2[[#This Row],[Group_Number]])&gt;0,1,2)&amp;tblTieBreakC2[[#This Row],[Rank_Points]]&amp;tblTieBreakC2[[#This Row],[Rank_Goal_Difference]]&amp;tblTieBreakC2[[#This Row],[Rank_Goals_For]])</calculatedColumnFormula>
    </tableColumn>
    <tableColumn id="13" xr3:uid="{3B0D0836-64AD-4A7C-ABBE-217141BD9D13}" name="TieBreak_Rank" dataDxfId="712">
      <calculatedColumnFormula array="1">SUMPRODUCT((tblTieBreakC2[[#This Row],[Group_Code]]=tblTieBreakC2[Group_Code])*(tblTieBreakC2[[#This Row],[Rank_All_Value]]&gt;tblTieBreakC2[Rank_All_Value]))+1</calculatedColumnFormula>
    </tableColumn>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BF93B93-C251-47C8-B2D5-4D4CB5AB7431}" name="tblTieBreakD1" displayName="tblTieBreakD1" ref="B36:O39" totalsRowShown="0" headerRowDxfId="711" dataDxfId="710">
  <autoFilter ref="B36:O39" xr:uid="{8BF93B93-C251-47C8-B2D5-4D4CB5AB7431}"/>
  <tableColumns count="14">
    <tableColumn id="5" xr3:uid="{262ADDB7-9ADA-4F3D-B311-0996277F0CD7}" name="Number" dataDxfId="709"/>
    <tableColumn id="1" xr3:uid="{D291EAA6-D57D-49B0-BD11-76CB2A54B67B}" name="Group_Code" dataDxfId="708"/>
    <tableColumn id="2" xr3:uid="{2F1283B6-B8A3-4F79-9DE0-2CC08C050B87}" name="Point_Rank" dataDxfId="707">
      <calculatedColumnFormula>_xlfn.MINIFS(tblGroupTieBreakRank[Point_Rank_TRUE],tblGroupTieBreakRank[Group_Code],tblTieBreakD1[[#This Row],[Group_Code]])</calculatedColumnFormula>
    </tableColumn>
    <tableColumn id="4" xr3:uid="{C902BC08-F639-455C-A735-2648BFC28E0A}" name="Rank_Count" dataDxfId="706">
      <calculatedColumnFormula>INDEX(tblGroupTieBreakRank[],MATCH(tblTieBreakD1[[#This Row],[Group_Code]]&amp;tblTieBreakD1[[#This Row],[Point_Rank]],tblGroupTieBreakRank[Rank_Code],0),MATCH("Count",tblGroupTieBreakRank[#Headers],0))</calculatedColumnFormula>
    </tableColumn>
    <tableColumn id="3" xr3:uid="{F2092A5B-6AC5-493D-903B-2FF81DB04CFB}" name="Group_Number" dataDxfId="705"/>
    <tableColumn id="14" xr3:uid="{2866BC38-A898-4562-B0F7-363B436577C0}" name="Team_Code" dataDxfId="704">
      <calculatedColumnFormula>IF(LEN(tblTieBreakD1[[#This Row],[Group_Number]])&gt;0,tblTieBreakD1[[#This Row],[Group_Code]]&amp;tblTieBreakD1[[#This Row],[Group_Number]],"")</calculatedColumnFormula>
    </tableColumn>
    <tableColumn id="6" xr3:uid="{5A3BB80C-F701-4F70-81C1-3CC4769144D5}" name="Total_Points" dataDxfId="703"/>
    <tableColumn id="7" xr3:uid="{F20BA04F-8260-4874-8A40-ED77F6381D05}" name="Total_Goal_Difference" dataDxfId="702"/>
    <tableColumn id="8" xr3:uid="{929967D1-4620-45DE-931E-9E0B2A3F8CC1}" name="Total_Goals_For" dataDxfId="701"/>
    <tableColumn id="9" xr3:uid="{AA0A341A-9053-4590-B62E-1BB2A5DAEE6E}" name="Rank_Points" dataDxfId="700">
      <calculatedColumnFormula array="1">SUMPRODUCT((tblTieBreakD1[[#This Row],[Group_Code]]=tblTieBreakD1[Group_Code])*(tblTieBreakD1[[#This Row],[Total_Points]]&lt;tblTieBreakD1[Total_Points]))+1</calculatedColumnFormula>
    </tableColumn>
    <tableColumn id="10" xr3:uid="{07E34B1B-D9A1-41EB-B9CC-007DF67B3F00}" name="Rank_Goal_Difference" dataDxfId="699">
      <calculatedColumnFormula array="1">SUMPRODUCT((tblTieBreakD1[[#This Row],[Group_Code]]=tblTieBreakD1[Group_Code])*(tblTieBreakD1[[#This Row],[Total_Goal_Difference]]&lt;tblTieBreakD1[Total_Goal_Difference]))+1</calculatedColumnFormula>
    </tableColumn>
    <tableColumn id="11" xr3:uid="{F49F93E7-5A9A-408F-ACA7-C982A6015093}" name="Rank_Goals_For" dataDxfId="698">
      <calculatedColumnFormula array="1">SUMPRODUCT((tblTieBreakD1[[#This Row],[Group_Code]]=tblTieBreakD1[Group_Code])*(tblTieBreakD1[[#This Row],[Total_Goals_For]]&lt;tblTieBreakD1[Total_Goals_For]))+1</calculatedColumnFormula>
    </tableColumn>
    <tableColumn id="12" xr3:uid="{4374988E-ACDD-49B0-B73F-DFE001527883}" name="Rank_All_Value" dataDxfId="697">
      <calculatedColumnFormula>VALUE(IF(LEN(tblTieBreakD1[[#This Row],[Group_Number]])&gt;0,1,2)&amp;tblTieBreakD1[[#This Row],[Rank_Points]]&amp;tblTieBreakD1[[#This Row],[Rank_Goal_Difference]]&amp;tblTieBreakD1[[#This Row],[Rank_Goals_For]])</calculatedColumnFormula>
    </tableColumn>
    <tableColumn id="13" xr3:uid="{01E058D8-0514-442E-B64A-D33897154EC9}" name="TieBreak_Rank" dataDxfId="696">
      <calculatedColumnFormula array="1">SUMPRODUCT((tblTieBreakD1[[#This Row],[Group_Code]]=tblTieBreakD1[Group_Code])*(tblTieBreakD1[[#This Row],[Rank_All_Value]]&gt;tblTieBreakD1[Rank_All_Value]))+1</calculatedColumnFormula>
    </tableColumn>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2CA939D-9909-41DE-AF44-086FDD42BA3E}" name="tblTieBreakD2" displayName="tblTieBreakD2" ref="B41:O44" totalsRowShown="0" headerRowDxfId="695" dataDxfId="694">
  <autoFilter ref="B41:O44" xr:uid="{B2CA939D-9909-41DE-AF44-086FDD42BA3E}"/>
  <tableColumns count="14">
    <tableColumn id="5" xr3:uid="{16F10A7A-4671-4994-98EE-1CFF6BCF9371}" name="Number" dataDxfId="693"/>
    <tableColumn id="1" xr3:uid="{85EAEC88-B76B-4CCB-A2EC-3DA1FA6C9100}" name="Group_Code" dataDxfId="692"/>
    <tableColumn id="2" xr3:uid="{9ABB0803-D5DF-46D3-9F13-263A2254475C}" name="Point_Rank" dataDxfId="691">
      <calculatedColumnFormula>_xlfn.MAXIFS(tblGroupTieBreakRank[Point_Rank_TRUE],tblGroupTieBreakRank[Group_Code],tblTieBreakD2[[#This Row],[Group_Code]])</calculatedColumnFormula>
    </tableColumn>
    <tableColumn id="4" xr3:uid="{93A229D1-9EF9-4CAB-9626-B765C7A633A2}" name="Rank_Count" dataDxfId="690">
      <calculatedColumnFormula>INDEX(tblGroupTieBreakRank[],MATCH(tblTieBreakD2[[#This Row],[Group_Code]]&amp;tblTieBreakD2[[#This Row],[Point_Rank]],tblGroupTieBreakRank[Rank_Code],0),MATCH("Count",tblGroupTieBreakRank[#Headers],0))</calculatedColumnFormula>
    </tableColumn>
    <tableColumn id="3" xr3:uid="{52297B7A-EA15-4536-AF5D-D3F4A2C666A5}" name="Group_Number" dataDxfId="689"/>
    <tableColumn id="14" xr3:uid="{4C456452-EB01-4E9D-8C31-0F165406DBF8}" name="Team_Code" dataDxfId="688">
      <calculatedColumnFormula>IF(LEN(tblTieBreakD2[[#This Row],[Group_Number]])&gt;0,tblTieBreakD2[[#This Row],[Group_Code]]&amp;tblTieBreakD2[[#This Row],[Group_Number]],"")</calculatedColumnFormula>
    </tableColumn>
    <tableColumn id="6" xr3:uid="{4B97E0D6-05AC-45AD-A437-F2EE9261A5E7}" name="Total_Points" dataDxfId="687"/>
    <tableColumn id="7" xr3:uid="{72CDE787-BA7C-4B20-9342-01757E0029BF}" name="Total_Goal_Difference" dataDxfId="686"/>
    <tableColumn id="8" xr3:uid="{BE471525-6A37-4A7A-A75D-1334008EF1ED}" name="Total_Goals_For" dataDxfId="685"/>
    <tableColumn id="9" xr3:uid="{D2F007B4-E27E-4B47-B92A-87E9BACD776A}" name="Rank_Points" dataDxfId="684">
      <calculatedColumnFormula array="1">SUMPRODUCT((tblTieBreakD2[[#This Row],[Group_Code]]=tblTieBreakD2[Group_Code])*(tblTieBreakD2[[#This Row],[Total_Points]]&lt;tblTieBreakD2[Total_Points]))+1</calculatedColumnFormula>
    </tableColumn>
    <tableColumn id="10" xr3:uid="{2031B1DF-1A46-4187-8704-1EBC2F99446F}" name="Rank_Goal_Difference" dataDxfId="683">
      <calculatedColumnFormula array="1">SUMPRODUCT((tblTieBreakD2[[#This Row],[Group_Code]]=tblTieBreakD2[Group_Code])*(tblTieBreakD2[[#This Row],[Total_Goal_Difference]]&lt;tblTieBreakD2[Total_Goal_Difference]))+1</calculatedColumnFormula>
    </tableColumn>
    <tableColumn id="11" xr3:uid="{C05E5691-7A39-4657-AEB6-C4166538B449}" name="Rank_Goals_For" dataDxfId="682">
      <calculatedColumnFormula array="1">SUMPRODUCT((tblTieBreakD2[[#This Row],[Group_Code]]=tblTieBreakD2[Group_Code])*(tblTieBreakD2[[#This Row],[Total_Goals_For]]&lt;tblTieBreakD2[Total_Goals_For]))+1</calculatedColumnFormula>
    </tableColumn>
    <tableColumn id="12" xr3:uid="{21AFA46D-6E41-4D42-B223-CC036CB2E8B6}" name="Rank_All_Value" dataDxfId="681">
      <calculatedColumnFormula>VALUE(IF(LEN(tblTieBreakD2[[#This Row],[Group_Number]])&gt;0,1,2)&amp;tblTieBreakD2[[#This Row],[Rank_Points]]&amp;tblTieBreakD2[[#This Row],[Rank_Goal_Difference]]&amp;tblTieBreakD2[[#This Row],[Rank_Goals_For]])</calculatedColumnFormula>
    </tableColumn>
    <tableColumn id="13" xr3:uid="{8C1A1C29-5A29-452A-9CEC-AD844B105F58}" name="TieBreak_Rank" dataDxfId="680">
      <calculatedColumnFormula array="1">SUMPRODUCT((tblTieBreakD2[[#This Row],[Group_Code]]=tblTieBreakD2[Group_Code])*(tblTieBreakD2[[#This Row],[Rank_All_Value]]&gt;tblTieBreakD2[Rank_All_Value]))+1</calculatedColumnFormula>
    </tableColumn>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9ED35EE-AE17-4AD7-B935-81F5125A874A}" name="tblTieBreakE1" displayName="tblTieBreakE1" ref="B47:O50" totalsRowShown="0" headerRowDxfId="679" dataDxfId="678">
  <autoFilter ref="B47:O50" xr:uid="{D9ED35EE-AE17-4AD7-B935-81F5125A874A}"/>
  <tableColumns count="14">
    <tableColumn id="5" xr3:uid="{3137C7CE-6372-4426-A767-4CE18176EEC4}" name="Number" dataDxfId="677"/>
    <tableColumn id="1" xr3:uid="{A20DDB37-A906-491D-91F0-558BAAC03C45}" name="Group_Code" dataDxfId="676"/>
    <tableColumn id="2" xr3:uid="{4BFFCF41-8A91-4023-83DC-3CE190A2EBDB}" name="Point_Rank" dataDxfId="675">
      <calculatedColumnFormula>_xlfn.MINIFS(tblGroupTieBreakRank[Point_Rank_TRUE],tblGroupTieBreakRank[Group_Code],tblTieBreakE1[[#This Row],[Group_Code]])</calculatedColumnFormula>
    </tableColumn>
    <tableColumn id="4" xr3:uid="{67A24993-E916-411D-B3E8-DF5A61ECF440}" name="Rank_Count" dataDxfId="674">
      <calculatedColumnFormula>INDEX(tblGroupTieBreakRank[],MATCH(tblTieBreakE1[[#This Row],[Group_Code]]&amp;tblTieBreakE1[[#This Row],[Point_Rank]],tblGroupTieBreakRank[Rank_Code],0),MATCH("Count",tblGroupTieBreakRank[#Headers],0))</calculatedColumnFormula>
    </tableColumn>
    <tableColumn id="3" xr3:uid="{55641865-EB76-45B8-83E8-1F77F66F4662}" name="Group_Number" dataDxfId="673"/>
    <tableColumn id="14" xr3:uid="{138A3C86-EF28-4BA2-A13C-23C9F7835539}" name="Team_Code" dataDxfId="672">
      <calculatedColumnFormula>IF(LEN(tblTieBreakE1[[#This Row],[Group_Number]])&gt;0,tblTieBreakE1[[#This Row],[Group_Code]]&amp;tblTieBreakE1[[#This Row],[Group_Number]],"")</calculatedColumnFormula>
    </tableColumn>
    <tableColumn id="6" xr3:uid="{2DF6F36A-94E6-4BAD-ABCF-616A354721CE}" name="Total_Points" dataDxfId="671"/>
    <tableColumn id="7" xr3:uid="{93F7D03E-89C6-4156-B0BF-B8CDF6FD8468}" name="Total_Goal_Difference" dataDxfId="670"/>
    <tableColumn id="8" xr3:uid="{308C1A92-F35E-491E-979C-8C021E357603}" name="Total_Goals_For" dataDxfId="669"/>
    <tableColumn id="9" xr3:uid="{7FEEFD7E-97B5-4A94-A1DB-377C4D76BE28}" name="Rank_Points" dataDxfId="668">
      <calculatedColumnFormula array="1">SUMPRODUCT((tblTieBreakE1[[#This Row],[Group_Code]]=tblTieBreakE1[Group_Code])*(tblTieBreakE1[[#This Row],[Total_Points]]&lt;tblTieBreakE1[Total_Points]))+1</calculatedColumnFormula>
    </tableColumn>
    <tableColumn id="10" xr3:uid="{5E2C1538-2AD3-4D74-9C54-4B6DB17F5887}" name="Rank_Goal_Difference" dataDxfId="667">
      <calculatedColumnFormula array="1">SUMPRODUCT((tblTieBreakE1[[#This Row],[Group_Code]]=tblTieBreakE1[Group_Code])*(tblTieBreakE1[[#This Row],[Total_Goal_Difference]]&lt;tblTieBreakE1[Total_Goal_Difference]))+1</calculatedColumnFormula>
    </tableColumn>
    <tableColumn id="11" xr3:uid="{6CD517E1-14AE-4407-A144-A793053555D9}" name="Rank_Goals_For" dataDxfId="666">
      <calculatedColumnFormula array="1">SUMPRODUCT((tblTieBreakE1[[#This Row],[Group_Code]]=tblTieBreakE1[Group_Code])*(tblTieBreakE1[[#This Row],[Total_Goals_For]]&lt;tblTieBreakE1[Total_Goals_For]))+1</calculatedColumnFormula>
    </tableColumn>
    <tableColumn id="12" xr3:uid="{FE4ABD99-3004-4BB0-A040-4524A02F3EBD}" name="Rank_All_Value" dataDxfId="665">
      <calculatedColumnFormula>VALUE(IF(LEN(tblTieBreakE1[[#This Row],[Group_Number]])&gt;0,1,2)&amp;tblTieBreakE1[[#This Row],[Rank_Points]]&amp;tblTieBreakE1[[#This Row],[Rank_Goal_Difference]]&amp;tblTieBreakE1[[#This Row],[Rank_Goals_For]])</calculatedColumnFormula>
    </tableColumn>
    <tableColumn id="13" xr3:uid="{69F95F08-2AD7-40A0-9E98-82A95787F7F7}" name="TieBreak_Rank" dataDxfId="664">
      <calculatedColumnFormula array="1">SUMPRODUCT((tblTieBreakE1[[#This Row],[Group_Code]]=tblTieBreakE1[Group_Code])*(tblTieBreakE1[[#This Row],[Rank_All_Value]]&gt;tblTieBreakE1[Rank_All_Value]))+1</calculatedColumnFormula>
    </tableColumn>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9A6FCB4-20A3-4AE5-992E-BFDA9EC4D49E}" name="tblTieBreakE2" displayName="tblTieBreakE2" ref="B52:O55" totalsRowShown="0" headerRowDxfId="663" dataDxfId="662">
  <autoFilter ref="B52:O55" xr:uid="{39A6FCB4-20A3-4AE5-992E-BFDA9EC4D49E}"/>
  <tableColumns count="14">
    <tableColumn id="5" xr3:uid="{CE77003C-8A88-4C33-BCE6-2D590303AD04}" name="Number" dataDxfId="661"/>
    <tableColumn id="1" xr3:uid="{F8EB64DB-D20D-45FA-95BD-474C7E2A57C2}" name="Group_Code" dataDxfId="660"/>
    <tableColumn id="2" xr3:uid="{00A0C8AE-1E5C-40CA-81DB-3DAAD25A6068}" name="Point_Rank" dataDxfId="659">
      <calculatedColumnFormula>_xlfn.MAXIFS(tblGroupTieBreakRank[Point_Rank_TRUE],tblGroupTieBreakRank[Group_Code],tblTieBreakE2[[#This Row],[Group_Code]])</calculatedColumnFormula>
    </tableColumn>
    <tableColumn id="4" xr3:uid="{55BA7846-1486-4FAF-8349-C210D0281093}" name="Rank_Count" dataDxfId="658">
      <calculatedColumnFormula>INDEX(tblGroupTieBreakRank[],MATCH(tblTieBreakE2[[#This Row],[Group_Code]]&amp;tblTieBreakE2[[#This Row],[Point_Rank]],tblGroupTieBreakRank[Rank_Code],0),MATCH("Count",tblGroupTieBreakRank[#Headers],0))</calculatedColumnFormula>
    </tableColumn>
    <tableColumn id="3" xr3:uid="{EAEEE118-6DD4-4A24-B9A8-496E2E506FF8}" name="Group_Number" dataDxfId="657"/>
    <tableColumn id="14" xr3:uid="{69353845-DFCB-40D7-8864-B40009B38692}" name="Team_Code" dataDxfId="656">
      <calculatedColumnFormula>IF(LEN(tblTieBreakE2[[#This Row],[Group_Number]])&gt;0,tblTieBreakE2[[#This Row],[Group_Code]]&amp;tblTieBreakE2[[#This Row],[Group_Number]],"")</calculatedColumnFormula>
    </tableColumn>
    <tableColumn id="6" xr3:uid="{F7F03B8D-4562-429C-91CE-C4C3735DF56B}" name="Total_Points" dataDxfId="655"/>
    <tableColumn id="7" xr3:uid="{FF78C1EA-7E52-4F79-8EBC-A04BE187A488}" name="Total_Goal_Difference" dataDxfId="654"/>
    <tableColumn id="8" xr3:uid="{CFADFB77-11EF-4093-AEE5-1701947A0B94}" name="Total_Goals_For" dataDxfId="653"/>
    <tableColumn id="9" xr3:uid="{7BD58768-E1F3-41F3-8FF3-2E384625A66E}" name="Rank_Points" dataDxfId="652">
      <calculatedColumnFormula array="1">SUMPRODUCT((tblTieBreakE2[[#This Row],[Group_Code]]=tblTieBreakE2[Group_Code])*(tblTieBreakE2[[#This Row],[Total_Points]]&lt;tblTieBreakE2[Total_Points]))+1</calculatedColumnFormula>
    </tableColumn>
    <tableColumn id="10" xr3:uid="{4D537C99-3DE0-4585-A1B8-2870AC3EA1CD}" name="Rank_Goal_Difference" dataDxfId="651">
      <calculatedColumnFormula array="1">SUMPRODUCT((tblTieBreakE2[[#This Row],[Group_Code]]=tblTieBreakE2[Group_Code])*(tblTieBreakE2[[#This Row],[Total_Goal_Difference]]&lt;tblTieBreakE2[Total_Goal_Difference]))+1</calculatedColumnFormula>
    </tableColumn>
    <tableColumn id="11" xr3:uid="{8E01033C-7526-47A4-A2CC-74244EA475F0}" name="Rank_Goals_For" dataDxfId="650">
      <calculatedColumnFormula array="1">SUMPRODUCT((tblTieBreakE2[[#This Row],[Group_Code]]=tblTieBreakE2[Group_Code])*(tblTieBreakE2[[#This Row],[Total_Goals_For]]&lt;tblTieBreakE2[Total_Goals_For]))+1</calculatedColumnFormula>
    </tableColumn>
    <tableColumn id="12" xr3:uid="{E4954530-69AA-4319-9F8A-BB87DB919563}" name="Rank_All_Value" dataDxfId="649">
      <calculatedColumnFormula>VALUE(IF(LEN(tblTieBreakE2[[#This Row],[Group_Number]])&gt;0,1,2)&amp;tblTieBreakE2[[#This Row],[Rank_Points]]&amp;tblTieBreakE2[[#This Row],[Rank_Goal_Difference]]&amp;tblTieBreakE2[[#This Row],[Rank_Goals_For]])</calculatedColumnFormula>
    </tableColumn>
    <tableColumn id="13" xr3:uid="{39777176-3812-4C96-85A5-E9C6BC7F306B}" name="TieBreak_Rank" dataDxfId="648">
      <calculatedColumnFormula array="1">SUMPRODUCT((tblTieBreakE2[[#This Row],[Group_Code]]=tblTieBreakE2[Group_Code])*(tblTieBreakE2[[#This Row],[Rank_All_Value]]&gt;tblTieBreakE2[Rank_All_Value]))+1</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FB4581F-8DE2-436E-9039-1881545F6A35}" name="tblTieBreakF1" displayName="tblTieBreakF1" ref="B58:O61" totalsRowShown="0" headerRowDxfId="647" dataDxfId="646">
  <autoFilter ref="B58:O61" xr:uid="{BFB4581F-8DE2-436E-9039-1881545F6A35}"/>
  <tableColumns count="14">
    <tableColumn id="5" xr3:uid="{8E0F971B-AE67-45DA-A1B6-5BAA48DFC66D}" name="Number" dataDxfId="645"/>
    <tableColumn id="1" xr3:uid="{301E78AC-CF1B-4979-AD14-6556C583C0DB}" name="Group_Code" dataDxfId="644"/>
    <tableColumn id="2" xr3:uid="{86A605AC-C097-4482-BC26-C815C2088956}" name="Point_Rank" dataDxfId="643">
      <calculatedColumnFormula>_xlfn.MINIFS(tblGroupTieBreakRank[Point_Rank_TRUE],tblGroupTieBreakRank[Group_Code],tblTieBreakF1[[#This Row],[Group_Code]])</calculatedColumnFormula>
    </tableColumn>
    <tableColumn id="4" xr3:uid="{20C1024F-537F-4CB8-A9D2-B7702D19B956}" name="Rank_Count" dataDxfId="642">
      <calculatedColumnFormula>INDEX(tblGroupTieBreakRank[],MATCH(tblTieBreakF1[[#This Row],[Group_Code]]&amp;tblTieBreakF1[[#This Row],[Point_Rank]],tblGroupTieBreakRank[Rank_Code],0),MATCH("Count",tblGroupTieBreakRank[#Headers],0))</calculatedColumnFormula>
    </tableColumn>
    <tableColumn id="3" xr3:uid="{ACC7B63C-C4F1-442F-9F83-0E08DF0B706E}" name="Group_Number" dataDxfId="641"/>
    <tableColumn id="14" xr3:uid="{179E4F58-898D-4BA0-9470-30B24192B4DF}" name="Team_Code" dataDxfId="640">
      <calculatedColumnFormula>IF(LEN(tblTieBreakF1[[#This Row],[Group_Number]])&gt;0,tblTieBreakF1[[#This Row],[Group_Code]]&amp;tblTieBreakF1[[#This Row],[Group_Number]],"")</calculatedColumnFormula>
    </tableColumn>
    <tableColumn id="6" xr3:uid="{6DA68F52-134F-4AFA-A5C4-3E430AA21D44}" name="Total_Points" dataDxfId="639"/>
    <tableColumn id="7" xr3:uid="{0DE97430-4CD4-4360-B22E-C63893E408B8}" name="Total_Goal_Difference" dataDxfId="638"/>
    <tableColumn id="8" xr3:uid="{EEF75FE4-75AF-4DF7-A615-373250239FD1}" name="Total_Goals_For" dataDxfId="637"/>
    <tableColumn id="9" xr3:uid="{6223BA09-A1C0-4D76-A5EA-A12113B24F9C}" name="Rank_Points" dataDxfId="636">
      <calculatedColumnFormula array="1">SUMPRODUCT((tblTieBreakF1[[#This Row],[Group_Code]]=tblTieBreakF1[Group_Code])*(tblTieBreakF1[[#This Row],[Total_Points]]&lt;tblTieBreakF1[Total_Points]))+1</calculatedColumnFormula>
    </tableColumn>
    <tableColumn id="10" xr3:uid="{9D4D783E-91FD-482E-BB94-17D7884F42BE}" name="Rank_Goal_Difference" dataDxfId="635">
      <calculatedColumnFormula array="1">SUMPRODUCT((tblTieBreakF1[[#This Row],[Group_Code]]=tblTieBreakF1[Group_Code])*(tblTieBreakF1[[#This Row],[Total_Goal_Difference]]&lt;tblTieBreakF1[Total_Goal_Difference]))+1</calculatedColumnFormula>
    </tableColumn>
    <tableColumn id="11" xr3:uid="{5881F6A6-9884-47CE-8C2B-6D77B15811A5}" name="Rank_Goals_For" dataDxfId="634">
      <calculatedColumnFormula array="1">SUMPRODUCT((tblTieBreakF1[[#This Row],[Group_Code]]=tblTieBreakF1[Group_Code])*(tblTieBreakF1[[#This Row],[Total_Goals_For]]&lt;tblTieBreakF1[Total_Goals_For]))+1</calculatedColumnFormula>
    </tableColumn>
    <tableColumn id="12" xr3:uid="{39011A71-1E2B-42ED-B59B-75350B59FE4A}" name="Rank_All_Value" dataDxfId="633">
      <calculatedColumnFormula>VALUE(IF(LEN(tblTieBreakF1[[#This Row],[Group_Number]])&gt;0,1,2)&amp;tblTieBreakF1[[#This Row],[Rank_Points]]&amp;tblTieBreakF1[[#This Row],[Rank_Goal_Difference]]&amp;tblTieBreakF1[[#This Row],[Rank_Goals_For]])</calculatedColumnFormula>
    </tableColumn>
    <tableColumn id="13" xr3:uid="{9F472EA2-498B-479D-A402-A2A1B391E622}" name="TieBreak_Rank" dataDxfId="632">
      <calculatedColumnFormula array="1">SUMPRODUCT((tblTieBreakF1[[#This Row],[Group_Code]]=tblTieBreakF1[Group_Code])*(tblTieBreakF1[[#This Row],[Rank_All_Value]]&gt;tblTieBreakF1[Rank_All_Value]))+1</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49EF710-FC58-4CBA-B89D-2864D93F7F19}" name="tblTieBreakF2" displayName="tblTieBreakF2" ref="B63:O66" totalsRowShown="0" headerRowDxfId="631" dataDxfId="630">
  <autoFilter ref="B63:O66" xr:uid="{249EF710-FC58-4CBA-B89D-2864D93F7F19}"/>
  <tableColumns count="14">
    <tableColumn id="5" xr3:uid="{83547758-B337-4683-A638-136CD11B2531}" name="Number" dataDxfId="629"/>
    <tableColumn id="1" xr3:uid="{3226748B-AA74-4B86-97BB-A517AF5DABC0}" name="Group_Code" dataDxfId="628"/>
    <tableColumn id="2" xr3:uid="{889C4543-305E-4655-B6DE-D3D0BB73D2CC}" name="Point_Rank" dataDxfId="627">
      <calculatedColumnFormula>_xlfn.MAXIFS(tblGroupTieBreakRank[Point_Rank_TRUE],tblGroupTieBreakRank[Group_Code],tblTieBreakF2[[#This Row],[Group_Code]])</calculatedColumnFormula>
    </tableColumn>
    <tableColumn id="4" xr3:uid="{273C24E4-3C9F-4783-8311-391D8F7E4507}" name="Rank_Count" dataDxfId="626">
      <calculatedColumnFormula>INDEX(tblGroupTieBreakRank[],MATCH(tblTieBreakF2[[#This Row],[Group_Code]]&amp;tblTieBreakF2[[#This Row],[Point_Rank]],tblGroupTieBreakRank[Rank_Code],0),MATCH("Count",tblGroupTieBreakRank[#Headers],0))</calculatedColumnFormula>
    </tableColumn>
    <tableColumn id="3" xr3:uid="{135E5F28-C2DD-4B38-ABF5-DC754F2244DB}" name="Group_Number" dataDxfId="625"/>
    <tableColumn id="14" xr3:uid="{8459A258-9105-4FF5-AE20-428F71747F32}" name="Team_Code" dataDxfId="624">
      <calculatedColumnFormula>IF(LEN(tblTieBreakF2[[#This Row],[Group_Number]])&gt;0,tblTieBreakF2[[#This Row],[Group_Code]]&amp;tblTieBreakF2[[#This Row],[Group_Number]],"")</calculatedColumnFormula>
    </tableColumn>
    <tableColumn id="6" xr3:uid="{53DFA657-01FA-4E37-A284-2D34AE621A52}" name="Total_Points" dataDxfId="623"/>
    <tableColumn id="7" xr3:uid="{10E58526-66F8-478A-B0D5-9C3410ACAC3D}" name="Total_Goal_Difference" dataDxfId="622"/>
    <tableColumn id="8" xr3:uid="{FE313CA2-7A5E-4B2D-BB7F-E9423A32FAC0}" name="Total_Goals_For" dataDxfId="621"/>
    <tableColumn id="9" xr3:uid="{C195315E-3DEE-49EB-9494-2FFFEABE4C55}" name="Rank_Points" dataDxfId="620">
      <calculatedColumnFormula array="1">SUMPRODUCT((tblTieBreakF2[[#This Row],[Group_Code]]=tblTieBreakF2[Group_Code])*(tblTieBreakF2[[#This Row],[Total_Points]]&lt;tblTieBreakF2[Total_Points]))+1</calculatedColumnFormula>
    </tableColumn>
    <tableColumn id="10" xr3:uid="{D3857A90-0AA9-48E9-B698-08A8EBB708D7}" name="Rank_Goal_Difference" dataDxfId="619">
      <calculatedColumnFormula array="1">SUMPRODUCT((tblTieBreakF2[[#This Row],[Group_Code]]=tblTieBreakF2[Group_Code])*(tblTieBreakF2[[#This Row],[Total_Goal_Difference]]&lt;tblTieBreakF2[Total_Goal_Difference]))+1</calculatedColumnFormula>
    </tableColumn>
    <tableColumn id="11" xr3:uid="{27105FBF-B880-4EC8-8C66-E02A432CE9EA}" name="Rank_Goals_For" dataDxfId="618">
      <calculatedColumnFormula array="1">SUMPRODUCT((tblTieBreakF2[[#This Row],[Group_Code]]=tblTieBreakF2[Group_Code])*(tblTieBreakF2[[#This Row],[Total_Goals_For]]&lt;tblTieBreakF2[Total_Goals_For]))+1</calculatedColumnFormula>
    </tableColumn>
    <tableColumn id="12" xr3:uid="{69B7E0C0-721A-4489-B716-CE8808DA6487}" name="Rank_All_Value" dataDxfId="617">
      <calculatedColumnFormula>VALUE(IF(LEN(tblTieBreakF2[[#This Row],[Group_Number]])&gt;0,1,2)&amp;tblTieBreakF2[[#This Row],[Rank_Points]]&amp;tblTieBreakF2[[#This Row],[Rank_Goal_Difference]]&amp;tblTieBreakF2[[#This Row],[Rank_Goals_For]])</calculatedColumnFormula>
    </tableColumn>
    <tableColumn id="13" xr3:uid="{2C398C03-1E37-4E68-977E-E60845D9FCB0}" name="TieBreak_Rank" dataDxfId="616">
      <calculatedColumnFormula array="1">SUMPRODUCT((tblTieBreakF2[[#This Row],[Group_Code]]=tblTieBreakF2[Group_Code])*(tblTieBreakF2[[#This Row],[Rank_All_Value]]&gt;tblTieBreakF2[Rank_All_Value]))+1</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A8512F2-D221-4BDB-B62E-B792CE6DA40D}" name="tblGroupThirdPlaceRank" displayName="tblGroupThirdPlaceRank" ref="B2:AC8" totalsRowShown="0" headerRowDxfId="318" dataDxfId="319">
  <autoFilter ref="B2:AC8" xr:uid="{4A8512F2-D221-4BDB-B62E-B792CE6DA40D}"/>
  <tableColumns count="28">
    <tableColumn id="1" xr3:uid="{9354ADF6-DA4F-461B-B52E-7515D2632866}" name="Table_Rank_Code" dataDxfId="333"/>
    <tableColumn id="2" xr3:uid="{B4419852-456E-4DD2-ADF8-23057A3EF37A}" name="Team_Number" dataDxfId="332">
      <calculatedColumnFormula>INDEX(tblGroupTotals[],MATCH(tblGroupThirdPlaceRank[[#This Row],[Table_Rank_Code]],tblGroupTotals[Table_Rank_Code],0),MATCH(tblGroupThirdPlaceRank[[#Headers],[Team_Number]],tblGroupTotals[#Headers],0))</calculatedColumnFormula>
    </tableColumn>
    <tableColumn id="3" xr3:uid="{3B662CC5-F983-4AD3-A6BE-90C5F309A3F9}" name="Total_Games" dataDxfId="331">
      <calculatedColumnFormula>INDEX(tblGroupTotals[],MATCH(tblGroupThirdPlaceRank[[#This Row],[Table_Rank_Code]],tblGroupTotals[Table_Rank_Code],0),MATCH(tblGroupThirdPlaceRank[[#Headers],[Total_Games]],tblGroupTotals[#Headers],0))</calculatedColumnFormula>
    </tableColumn>
    <tableColumn id="4" xr3:uid="{70A78EF4-DE36-44EE-90E8-7C304E7B1E44}" name="Total_Points" dataDxfId="330">
      <calculatedColumnFormula>INDEX(tblGroupTotals[],MATCH(tblGroupThirdPlaceRank[[#This Row],[Table_Rank_Code]],tblGroupTotals[Table_Rank_Code],0),MATCH(tblGroupThirdPlaceRank[[#Headers],[Total_Points]],tblGroupTotals[#Headers],0))</calculatedColumnFormula>
    </tableColumn>
    <tableColumn id="5" xr3:uid="{8B11A278-1AE1-4AAF-A114-830D9A2502A0}" name="Goal_Difference" dataDxfId="329">
      <calculatedColumnFormula>INDEX(tblGroupTotals[],MATCH(tblGroupThirdPlaceRank[[#This Row],[Table_Rank_Code]],tblGroupTotals[Table_Rank_Code],0),MATCH(tblGroupThirdPlaceRank[[#Headers],[Goal_Difference]],tblGroupTotals[#Headers],0))</calculatedColumnFormula>
    </tableColumn>
    <tableColumn id="6" xr3:uid="{639C472E-EEF3-4CF8-BA89-3F19B186F9D3}" name="Total_Goals_For" dataDxfId="328">
      <calculatedColumnFormula>INDEX(tblGroupTotals[],MATCH(tblGroupThirdPlaceRank[[#This Row],[Table_Rank_Code]],tblGroupTotals[Table_Rank_Code],0),MATCH(tblGroupThirdPlaceRank[[#Headers],[Total_Goals_For]],tblGroupTotals[#Headers],0))</calculatedColumnFormula>
    </tableColumn>
    <tableColumn id="7" xr3:uid="{A895C0A3-A7D3-4D5D-AE2A-B445FCDD420D}" name="Total_Goals_Against" dataDxfId="327">
      <calculatedColumnFormula>INDEX(tblGroupTotals[],MATCH(tblGroupThirdPlaceRank[[#This Row],[Table_Rank_Code]],tblGroupTotals[Table_Rank_Code],0),MATCH(tblGroupThirdPlaceRank[[#Headers],[Total_Goals_Against]],tblGroupTotals[#Headers],0))</calculatedColumnFormula>
    </tableColumn>
    <tableColumn id="8" xr3:uid="{474E4515-BB52-4FB7-8634-1369A4072D7D}" name="Total_Wins" dataDxfId="326">
      <calculatedColumnFormula>INDEX(tblGroupTotals[],MATCH(tblGroupThirdPlaceRank[[#This Row],[Table_Rank_Code]],tblGroupTotals[Table_Rank_Code],0),MATCH(tblGroupThirdPlaceRank[[#Headers],[Total_Wins]],tblGroupTotals[#Headers],0))</calculatedColumnFormula>
    </tableColumn>
    <tableColumn id="9" xr3:uid="{9C29AAD2-95C6-4EED-84F0-E5EF6B81A1A0}" name="Total_Draws" dataDxfId="325">
      <calculatedColumnFormula>INDEX(tblGroupTotals[],MATCH(tblGroupThirdPlaceRank[[#This Row],[Table_Rank_Code]],tblGroupTotals[Table_Rank_Code],0),MATCH(tblGroupThirdPlaceRank[[#Headers],[Total_Draws]],tblGroupTotals[#Headers],0))</calculatedColumnFormula>
    </tableColumn>
    <tableColumn id="10" xr3:uid="{172BF8B6-0914-4CF9-8A09-A9BD65E97B20}" name="Total_Loses" dataDxfId="324">
      <calculatedColumnFormula>INDEX(tblGroupTotals[],MATCH(tblGroupThirdPlaceRank[[#This Row],[Table_Rank_Code]],tblGroupTotals[Table_Rank_Code],0),MATCH(tblGroupThirdPlaceRank[[#Headers],[Total_Loses]],tblGroupTotals[#Headers],0))</calculatedColumnFormula>
    </tableColumn>
    <tableColumn id="11" xr3:uid="{FC2C492A-6B4E-4C64-A8EF-044774FE3ADE}" name="Total_Yellow_Cards" dataDxfId="323">
      <calculatedColumnFormula>INDEX(tblGroupTotals[],MATCH(tblGroupThirdPlaceRank[[#This Row],[Table_Rank_Code]],tblGroupTotals[Table_Rank_Code],0),MATCH(tblGroupThirdPlaceRank[[#Headers],[Total_Yellow_Cards]],tblGroupTotals[#Headers],0))</calculatedColumnFormula>
    </tableColumn>
    <tableColumn id="12" xr3:uid="{DA43C096-F4B6-4AE9-88C1-CC7251D2C9A6}" name="Total_Red_Cards" dataDxfId="322">
      <calculatedColumnFormula>INDEX(tblGroupTotals[],MATCH(tblGroupThirdPlaceRank[[#This Row],[Table_Rank_Code]],tblGroupTotals[Table_Rank_Code],0),MATCH(tblGroupThirdPlaceRank[[#Headers],[Total_Red_Cards]],tblGroupTotals[#Headers],0))</calculatedColumnFormula>
    </tableColumn>
    <tableColumn id="13" xr3:uid="{2D280B24-BB23-438B-ACC3-52B019CF6B60}" name="Total_Diciplinary_Points" dataDxfId="321">
      <calculatedColumnFormula>INDEX(tblGroupTotals[],MATCH(tblGroupThirdPlaceRank[[#This Row],[Table_Rank_Code]],tblGroupTotals[Table_Rank_Code],0),MATCH(tblGroupThirdPlaceRank[[#Headers],[Total_Diciplinary_Points]],tblGroupTotals[#Headers],0))</calculatedColumnFormula>
    </tableColumn>
    <tableColumn id="14" xr3:uid="{9129F3F7-18C4-4FCF-8845-89834299FC06}" name="Qualifier_Rank_Position" dataDxfId="320">
      <calculatedColumnFormula>INDEX(tblGroupTotals[],MATCH(tblGroupThirdPlaceRank[[#This Row],[Table_Rank_Code]],tblGroupTotals[Table_Rank_Code],0),MATCH(tblGroupThirdPlaceRank[[#Headers],[Qualifier_Rank_Position]],tblGroupTotals[#Headers],0))</calculatedColumnFormula>
    </tableColumn>
    <tableColumn id="15" xr3:uid="{BA84A71F-788A-45A2-BD3A-E9B5E8D2E523}" name="Points_Rank" dataDxfId="317">
      <calculatedColumnFormula>_xlfn.RANK.EQ(tblGroupThirdPlaceRank[[#This Row],[Total_Points]],tblGroupThirdPlaceRank[Total_Points],0)</calculatedColumnFormula>
    </tableColumn>
    <tableColumn id="16" xr3:uid="{31236BE2-55CB-4A01-ABE9-0F968BC96478}" name="Goal_Difference_Rank" dataDxfId="316">
      <calculatedColumnFormula>_xlfn.RANK.EQ(tblGroupThirdPlaceRank[[#This Row],[Goal_Difference]],tblGroupThirdPlaceRank[Goal_Difference],0)</calculatedColumnFormula>
    </tableColumn>
    <tableColumn id="17" xr3:uid="{4D412E39-67B9-4755-83D0-EE78F0039CE6}" name="Goals_For_Rank" dataDxfId="315">
      <calculatedColumnFormula>_xlfn.RANK.EQ(tblGroupThirdPlaceRank[[#This Row],[Total_Goals_For]],tblGroupThirdPlaceRank[Total_Goals_For],0)</calculatedColumnFormula>
    </tableColumn>
    <tableColumn id="18" xr3:uid="{C2DA3BB1-6E49-4ADC-BD80-60E3391584DA}" name="Wins_Rank" dataDxfId="314">
      <calculatedColumnFormula>_xlfn.RANK.EQ(tblGroupThirdPlaceRank[[#This Row],[Total_Wins]],tblGroupThirdPlaceRank[Total_Wins],0)</calculatedColumnFormula>
    </tableColumn>
    <tableColumn id="19" xr3:uid="{E9CF0CD4-4118-4074-843E-9A5851902148}" name="Disciplinary_Rank" dataDxfId="313">
      <calculatedColumnFormula>_xlfn.RANK.EQ(tblGroupThirdPlaceRank[[#This Row],[Total_Diciplinary_Points]],tblGroupThirdPlaceRank[Total_Diciplinary_Points],1)</calculatedColumnFormula>
    </tableColumn>
    <tableColumn id="20" xr3:uid="{1E39BF31-B547-4A6C-B10B-3BDE2F700B93}" name="Qualifier_Rank" dataDxfId="312">
      <calculatedColumnFormula>_xlfn.RANK.EQ(tblGroupThirdPlaceRank[[#This Row],[Qualifier_Rank_Position]],tblGroupThirdPlaceRank[Qualifier_Rank_Position],1)</calculatedColumnFormula>
    </tableColumn>
    <tableColumn id="21" xr3:uid="{17D3379E-7328-4552-9E35-8FE19CA9FF40}" name="Total_Group_Rank_Value" dataDxfId="311">
      <calculatedColumnFormula>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calculatedColumnFormula>
    </tableColumn>
    <tableColumn id="22" xr3:uid="{479E4070-408A-4087-A477-30F4C55744F8}" name="Total_Group_Rank" dataDxfId="310">
      <calculatedColumnFormula>_xlfn.RANK.EQ(tblGroupThirdPlaceRank[[#This Row],[Total_Group_Rank_Value]],tblGroupThirdPlaceRank[Total_Group_Rank_Value],1)</calculatedColumnFormula>
    </tableColumn>
    <tableColumn id="24" xr3:uid="{3555EFB8-25CF-461B-A390-A88E9C267D58}" name="Table_Rank_Value" dataDxfId="309">
      <calculatedColumnFormula>LEFT(tblGroupThirdPlaceRank[[#This Row],[Total_Group_Rank_Value]],4)</calculatedColumnFormula>
    </tableColumn>
    <tableColumn id="25" xr3:uid="{75D22628-38B2-4B1C-B784-A40B94F18EB8}" name="Disciplinary_Rank_Value" dataDxfId="308">
      <calculatedColumnFormula>LEFT(tblGroupThirdPlaceRank[[#This Row],[Total_Group_Rank_Value]],5)</calculatedColumnFormula>
    </tableColumn>
    <tableColumn id="27" xr3:uid="{A614EDD4-D6E4-4B95-B0CA-5A349EA3186B}" name="Table_Match" dataDxfId="307">
      <calculatedColumnFormula>COUNTIF(tblGroupThirdPlaceRank[Table_Rank_Value],tblGroupThirdPlaceRank[[#This Row],[Table_Rank_Value]])&gt;1</calculatedColumnFormula>
    </tableColumn>
    <tableColumn id="28" xr3:uid="{8D7ADA5A-30C1-4BE1-94F0-AC02B38DE839}" name="Disciplinary_Match" dataDxfId="306">
      <calculatedColumnFormula>COUNTIF(tblGroupThirdPlaceRank[Disciplinary_Rank_Value],tblGroupThirdPlaceRank[[#This Row],[Disciplinary_Rank_Value]])&gt;1</calculatedColumnFormula>
    </tableColumn>
    <tableColumn id="29" xr3:uid="{F1125AFF-DA2F-4AE0-89BA-4D04DC2FCBD5}" name="Qualify_Note" dataDxfId="305">
      <calculatedColumnFormula>IF(tblGroupThirdPlaceRank[[#This Row],[Table_Match]],IF(tblGroupThirdPlaceRank[[#This Row],[Disciplinary_Match]],"Euro Qualifier Rank ("&amp;tblGroupThirdPlaceRank[[#This Row],[Qualifier_Rank_Position]]&amp;")","Disciplinary Points ("&amp;tblGroupThirdPlaceRank[[#This Row],[Total_Diciplinary_Points]]&amp;")"),"")</calculatedColumnFormula>
    </tableColumn>
    <tableColumn id="31" xr3:uid="{61147FE6-40FD-44B7-88AC-AA677B08166E}" name="Group_Code" dataDxfId="280">
      <calculatedColumnFormula>LEFT(tblGroupThirdPlaceRank[[#This Row],[Table_Rank_Code]],1)</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A735AEA6-A776-4AC2-B29D-CE68D086FD04}" name="tblThirdPlaceSequence" displayName="tblThirdPlaceSequence" ref="AF2:AW17" totalsRowShown="0" headerRowDxfId="265" dataDxfId="272">
  <autoFilter ref="AF2:AW17" xr:uid="{A735AEA6-A776-4AC2-B29D-CE68D086FD04}"/>
  <tableColumns count="18">
    <tableColumn id="1" xr3:uid="{9B64B706-64C7-4167-8BA7-A2B4DE03643D}" name="Option" dataDxfId="279"/>
    <tableColumn id="2" xr3:uid="{D9284FF2-574F-45D4-BBF5-BDB2F7FA7458}" name="A3" dataDxfId="278"/>
    <tableColumn id="3" xr3:uid="{37B7D91A-E5FD-4CEA-9CC3-138739776AD3}" name="B3" dataDxfId="277"/>
    <tableColumn id="4" xr3:uid="{F604D187-9B38-4B57-810D-844C847D34DA}" name="C3" dataDxfId="276"/>
    <tableColumn id="5" xr3:uid="{3AA28B3F-0865-48E6-8199-E51D21866A19}" name="D3" dataDxfId="275"/>
    <tableColumn id="6" xr3:uid="{E4FB6E36-8505-4E84-A85E-CE10E714BD18}" name="E3" dataDxfId="274"/>
    <tableColumn id="7" xr3:uid="{7A013912-EE78-4AD4-A67D-E5970397CDE4}" name="F3" dataDxfId="273"/>
    <tableColumn id="8" xr3:uid="{AF468013-5F04-4CC7-931F-3FAA8808167A}" name="A" dataDxfId="271">
      <calculatedColumnFormula>COUNTIFS(tblGroupThirdPlaceRank[Group_Code],tblThirdPlaceSequence[[#Headers],[A]],tblGroupThirdPlaceRank[Total_Group_Rank],"&lt;5")&gt;0</calculatedColumnFormula>
    </tableColumn>
    <tableColumn id="9" xr3:uid="{4E2DEE80-C8D8-4B85-AFC3-FE5856692316}" name="B" dataDxfId="270">
      <calculatedColumnFormula>COUNTIFS(tblGroupThirdPlaceRank[Group_Code],tblThirdPlaceSequence[[#Headers],[B]],tblGroupThirdPlaceRank[Total_Group_Rank],"&lt;5")&gt;0</calculatedColumnFormula>
    </tableColumn>
    <tableColumn id="10" xr3:uid="{E783B186-6A2E-4BB0-BF37-D3690414E57E}" name="C" dataDxfId="269">
      <calculatedColumnFormula>COUNTIFS(tblGroupThirdPlaceRank[Group_Code],tblThirdPlaceSequence[[#Headers],[C]],tblGroupThirdPlaceRank[Total_Group_Rank],"&lt;5")&gt;0</calculatedColumnFormula>
    </tableColumn>
    <tableColumn id="11" xr3:uid="{9EB9BAF5-096B-499F-B1D2-3896969196CF}" name="D" dataDxfId="268">
      <calculatedColumnFormula>COUNTIFS(tblGroupThirdPlaceRank[Group_Code],tblThirdPlaceSequence[[#Headers],[D]],tblGroupThirdPlaceRank[Total_Group_Rank],"&lt;5")&gt;0</calculatedColumnFormula>
    </tableColumn>
    <tableColumn id="12" xr3:uid="{E3A95034-B6A2-49EF-BD8C-1A44341B0C5B}" name="E" dataDxfId="267">
      <calculatedColumnFormula>COUNTIFS(tblGroupThirdPlaceRank[Group_Code],tblThirdPlaceSequence[[#Headers],[E]],tblGroupThirdPlaceRank[Total_Group_Rank],"&lt;5")&gt;0</calculatedColumnFormula>
    </tableColumn>
    <tableColumn id="13" xr3:uid="{6B7563AF-E2C3-4F88-895D-EBF2242E4E1C}" name="F" dataDxfId="266">
      <calculatedColumnFormula>COUNTIFS(tblGroupThirdPlaceRank[Group_Code],tblThirdPlaceSequence[[#Headers],[F]],tblGroupThirdPlaceRank[Total_Group_Rank],"&lt;5")&gt;0</calculatedColumnFormula>
    </tableColumn>
    <tableColumn id="14" xr3:uid="{CB1DFBB1-E55E-4C3F-A83F-9D26475C13BC}" name="Is_Sequence" dataDxfId="264">
      <calculatedColumnFormula>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calculatedColumnFormula>
    </tableColumn>
    <tableColumn id="15" xr3:uid="{2304D726-8365-4C63-9E98-6DC739233265}" name="B1" dataDxfId="263"/>
    <tableColumn id="16" xr3:uid="{6AA48B20-348A-4B5D-B57B-269BAFFDF617}" name="C1" dataDxfId="262"/>
    <tableColumn id="17" xr3:uid="{28375FB0-A164-4D24-B982-A45703140D4D}" name="E1" dataDxfId="261"/>
    <tableColumn id="18" xr3:uid="{EA9DD148-AF6B-4652-8F9B-94FFFC8B48B2}" name="F1" dataDxfId="260"/>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0C1D8-8213-43D6-9444-FAEABB19D365}" name="lkupTeam" displayName="lkupTeam" ref="B1:G25" totalsRowShown="0" headerRowDxfId="912" dataDxfId="911">
  <autoFilter ref="B1:G25" xr:uid="{F5D0C1D8-8213-43D6-9444-FAEABB19D365}"/>
  <sortState xmlns:xlrd2="http://schemas.microsoft.com/office/spreadsheetml/2017/richdata2" ref="B2:D25">
    <sortCondition ref="C2:C25"/>
    <sortCondition ref="D2:D25"/>
  </sortState>
  <tableColumns count="6">
    <tableColumn id="1" xr3:uid="{94B648F6-CF4E-4A4F-8A1E-87D80F58BE51}" name="Team" dataDxfId="916"/>
    <tableColumn id="2" xr3:uid="{AD151383-CECD-47B5-822F-0ED6BD9E0F97}" name="Group_Code" dataDxfId="915"/>
    <tableColumn id="3" xr3:uid="{FB6B93CC-3647-4253-B0D3-2061D62BF853}" name="Group_Number" dataDxfId="914"/>
    <tableColumn id="4" xr3:uid="{AACAAF27-2275-4C50-B340-3DC73163A686}" name="Team_Number" dataDxfId="913"/>
    <tableColumn id="5" xr3:uid="{9570DB0A-4859-4DD3-9980-F5454D7968F7}" name="Team_Code" dataDxfId="893">
      <calculatedColumnFormula>lkupTeam[[#This Row],[Group_Code]]&amp;lkupTeam[[#This Row],[Group_Number]]</calculatedColumnFormula>
    </tableColumn>
    <tableColumn id="6" xr3:uid="{6A500353-4D55-4A6C-BD97-1479FE73B166}" name="Qualifier_Rank" dataDxfId="335">
      <calculatedColumnFormula>INDEX(lkupEuroQualifier[],MATCH(lkupTeam[[#This Row],[Team]],lkupEuroQualifier[Team],0),MATCH("Rnk",lkupEuroQualifier[#Headers],0))</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0C17D3-96AC-4822-8E10-AD989FD5ABE2}" name="lkupGroupGame" displayName="lkupGroupGame" ref="J1:R37" totalsRowShown="0" headerRowDxfId="903" dataDxfId="902">
  <autoFilter ref="J1:R37" xr:uid="{B80C17D3-96AC-4822-8E10-AD989FD5ABE2}"/>
  <sortState xmlns:xlrd2="http://schemas.microsoft.com/office/spreadsheetml/2017/richdata2" ref="J2:P37">
    <sortCondition ref="M2:M37"/>
    <sortCondition ref="N2:N37"/>
    <sortCondition ref="O2:O37"/>
  </sortState>
  <tableColumns count="9">
    <tableColumn id="1" xr3:uid="{3BCBF38E-59DE-4D0D-98CC-6225E9ABA8E3}" name="Group_Code" dataDxfId="910"/>
    <tableColumn id="2" xr3:uid="{750E9DE1-8F79-4089-928C-53DDE8FB97C4}" name="Home_Group_Number" dataDxfId="909"/>
    <tableColumn id="3" xr3:uid="{48D8EA75-4219-4B80-BFF8-0743F2B81614}" name="Away_Group_Number" dataDxfId="908"/>
    <tableColumn id="4" xr3:uid="{063CC546-848F-42BA-9771-E2A4A645A2A0}" name="Match_Date" dataDxfId="907"/>
    <tableColumn id="5" xr3:uid="{DB301A27-67DE-4B76-909C-F405E6BD42BC}" name="Match_Time_UK" dataDxfId="906"/>
    <tableColumn id="6" xr3:uid="{DD807114-EEAE-4EAE-B87B-478026641FB0}" name="Euro_Match_Number" dataDxfId="905"/>
    <tableColumn id="7" xr3:uid="{3C5C8378-EA47-4797-9E2C-8A0157ECFC4D}" name="Group_Game_Number" dataDxfId="904"/>
    <tableColumn id="8" xr3:uid="{02E21693-66B7-43BF-A1EB-C6E8EC7093D3}" name="Venue_Number" dataDxfId="901"/>
    <tableColumn id="11" xr3:uid="{038265F9-8664-421D-AAFC-2B76ACBB51DB}" name="TV_Station" dataDxfId="243"/>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D15A186-2D5F-44FC-86EE-DDCEB203CB7F}" name="lkupVenue" displayName="lkupVenue" ref="U1:AB12" totalsRowShown="0" headerRowDxfId="895" dataDxfId="896">
  <autoFilter ref="U1:AB12" xr:uid="{ED15A186-2D5F-44FC-86EE-DDCEB203CB7F}"/>
  <tableColumns count="8">
    <tableColumn id="1" xr3:uid="{92CFBA6B-1AD6-416C-8CF2-A207BB651B1C}" name="Venue_Country" dataDxfId="900"/>
    <tableColumn id="2" xr3:uid="{54488001-F067-462E-BBD1-F7608E84FA1A}" name="Venue_City" dataDxfId="899"/>
    <tableColumn id="3" xr3:uid="{1100983F-B0C3-42EC-A801-9ED8CF99D108}" name="Venue_Stadium" dataDxfId="898" dataCellStyle="Percent"/>
    <tableColumn id="6" xr3:uid="{37AD2427-8FFC-44EA-ACF0-F230AC956F3F}" name="Country_Short" dataDxfId="234" dataCellStyle="Percent"/>
    <tableColumn id="7" xr3:uid="{0B00FDE9-50AB-47C5-AC95-5605F6E9A1FB}" name="City_Short" dataDxfId="233" dataCellStyle="Percent"/>
    <tableColumn id="5" xr3:uid="{C76136A3-839D-4F02-BC4C-332BE06F5D0F}" name="Venue_Name" dataDxfId="894" dataCellStyle="Percent">
      <calculatedColumnFormula>lkupVenue[[#This Row],[Venue_Stadium]]&amp;", "&amp;lkupVenue[[#This Row],[Venue_City]]&amp;" ("&amp;lkupVenue[[#This Row],[Venue_Country]]&amp;")"</calculatedColumnFormula>
    </tableColumn>
    <tableColumn id="8" xr3:uid="{750607A2-AD24-4A53-804C-25E312FFEFBA}" name="Venue_Short" dataDxfId="232" dataCellStyle="Percent">
      <calculatedColumnFormula>lkupVenue[[#This Row],[Venue_Stadium]]&amp;" ("&amp;lkupVenue[[#This Row],[Country_Short]]&amp;")"</calculatedColumnFormula>
    </tableColumn>
    <tableColumn id="4" xr3:uid="{A3856163-BE55-4C3D-AF9C-247D51C87F9E}" name="Venue_Number" dataDxfId="897"/>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79D2085-3C0A-4A8F-B631-C8995373AA26}" name="lkupEuroQualifier" displayName="lkupEuroQualifier" ref="AE1:AR56" totalsRowShown="0" headerRowDxfId="337" dataDxfId="338">
  <autoFilter ref="AE1:AR56" xr:uid="{079D2085-3C0A-4A8F-B631-C8995373AA26}"/>
  <tableColumns count="14">
    <tableColumn id="1" xr3:uid="{AE03C32C-EC93-486A-A6EC-10285246EA52}" name="Rnk" dataDxfId="351"/>
    <tableColumn id="2" xr3:uid="{02482128-6B26-428A-903F-298F845C10A7}" name="Grp" dataDxfId="350"/>
    <tableColumn id="3" xr3:uid="{037B9F6E-9091-4E92-BF98-1536ABA4C12B}" name="Team" dataDxfId="349"/>
    <tableColumn id="4" xr3:uid="{58E24A8F-9819-4BE9-9A48-AA85F5A66753}" name="Pld" dataDxfId="348"/>
    <tableColumn id="5" xr3:uid="{2C03E21B-C484-4C8B-B67B-A8927AC40C66}" name="W" dataDxfId="347"/>
    <tableColumn id="6" xr3:uid="{2F50530B-FC53-4A9F-A1E3-A6BA0E00881A}" name="D" dataDxfId="346"/>
    <tableColumn id="7" xr3:uid="{EADCBC07-8EB3-4BB1-91DC-0CBF02C2DD33}" name="L" dataDxfId="345"/>
    <tableColumn id="8" xr3:uid="{356712D5-47C8-4FCF-AAEF-4F775F3850FD}" name="GF" dataDxfId="344"/>
    <tableColumn id="9" xr3:uid="{A5BDAFC3-54D4-43E2-AEF0-2BA14938A58D}" name="GA" dataDxfId="343"/>
    <tableColumn id="10" xr3:uid="{746E3EF5-0291-4983-BC6C-8D0D695CFFD0}" name="GD" dataDxfId="342"/>
    <tableColumn id="11" xr3:uid="{7A3AC4EC-62AD-468F-834C-8D4486B09B7E}" name="Pts" dataDxfId="341"/>
    <tableColumn id="12" xr3:uid="{CF1BA166-CB7B-4783-87BA-9905D0A15A9F}" name="GFpG" dataDxfId="340"/>
    <tableColumn id="13" xr3:uid="{8532F0BD-B21C-4316-8946-202808156764}" name="GApG" dataDxfId="339"/>
    <tableColumn id="14" xr3:uid="{CEE9FD79-FD8E-453A-A332-98A696F04567}" name="Match" dataDxfId="336">
      <calculatedColumnFormula>MATCH(lkupEuroQualifier[[#This Row],[Team]],lkupTeam[Team],0)</calculatedColumnFormula>
    </tableColumn>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740D9F20-5AFB-4E00-BA7B-73F7A8817285}" name="lkupRoundGame" displayName="lkupRoundGame" ref="AU1:AZ16" totalsRowShown="0" headerRowDxfId="235" dataDxfId="236">
  <autoFilter ref="AU1:AZ16" xr:uid="{740D9F20-5AFB-4E00-BA7B-73F7A8817285}"/>
  <tableColumns count="6">
    <tableColumn id="1" xr3:uid="{05E5636D-B0F6-43AE-9009-08566B429AB6}" name="Euro_Match_Number" dataDxfId="242"/>
    <tableColumn id="2" xr3:uid="{8962D998-A729-4B03-97AC-DA992F5B618C}" name="Round_Name" dataDxfId="241"/>
    <tableColumn id="3" xr3:uid="{56F4B9AB-9877-4DD9-BCDE-372EB7AB20CA}" name="Match_Date" dataDxfId="240"/>
    <tableColumn id="4" xr3:uid="{7A8F8FD3-CE76-46D5-AC63-EB9ABD64B767}" name="Match_Time_UK" dataDxfId="239"/>
    <tableColumn id="5" xr3:uid="{7AEE1F36-21FA-4B77-AAF2-D151E58743FA}" name="Venue_Number" dataDxfId="238"/>
    <tableColumn id="6" xr3:uid="{54FD97E7-00AC-4C39-B61F-054F2DDF5C25}" name="TV_Station" dataDxfId="23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1.xml"/><Relationship Id="rId13" Type="http://schemas.openxmlformats.org/officeDocument/2006/relationships/table" Target="../tables/table16.xml"/><Relationship Id="rId3" Type="http://schemas.openxmlformats.org/officeDocument/2006/relationships/table" Target="../tables/table6.xml"/><Relationship Id="rId7" Type="http://schemas.openxmlformats.org/officeDocument/2006/relationships/table" Target="../tables/table10.xml"/><Relationship Id="rId12" Type="http://schemas.openxmlformats.org/officeDocument/2006/relationships/table" Target="../tables/table15.xml"/><Relationship Id="rId2" Type="http://schemas.openxmlformats.org/officeDocument/2006/relationships/drawing" Target="../drawings/drawing3.xml"/><Relationship Id="rId1" Type="http://schemas.openxmlformats.org/officeDocument/2006/relationships/printerSettings" Target="../printerSettings/printerSettings1.bin"/><Relationship Id="rId6" Type="http://schemas.openxmlformats.org/officeDocument/2006/relationships/table" Target="../tables/table9.xml"/><Relationship Id="rId11" Type="http://schemas.openxmlformats.org/officeDocument/2006/relationships/table" Target="../tables/table14.xml"/><Relationship Id="rId5" Type="http://schemas.openxmlformats.org/officeDocument/2006/relationships/table" Target="../tables/table8.xml"/><Relationship Id="rId15" Type="http://schemas.openxmlformats.org/officeDocument/2006/relationships/table" Target="../tables/table18.xml"/><Relationship Id="rId10" Type="http://schemas.openxmlformats.org/officeDocument/2006/relationships/table" Target="../tables/table13.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12" Type="http://schemas.openxmlformats.org/officeDocument/2006/relationships/table" Target="../tables/table32.xml"/><Relationship Id="rId2" Type="http://schemas.openxmlformats.org/officeDocument/2006/relationships/table" Target="../tables/table22.xml"/><Relationship Id="rId1" Type="http://schemas.openxmlformats.org/officeDocument/2006/relationships/table" Target="../tables/table21.xml"/><Relationship Id="rId6" Type="http://schemas.openxmlformats.org/officeDocument/2006/relationships/table" Target="../tables/table26.xml"/><Relationship Id="rId11" Type="http://schemas.openxmlformats.org/officeDocument/2006/relationships/table" Target="../tables/table31.xml"/><Relationship Id="rId5" Type="http://schemas.openxmlformats.org/officeDocument/2006/relationships/table" Target="../tables/table25.xml"/><Relationship Id="rId10" Type="http://schemas.openxmlformats.org/officeDocument/2006/relationships/table" Target="../tables/table30.xml"/><Relationship Id="rId4" Type="http://schemas.openxmlformats.org/officeDocument/2006/relationships/table" Target="../tables/table24.xml"/><Relationship Id="rId9" Type="http://schemas.openxmlformats.org/officeDocument/2006/relationships/table" Target="../tables/table29.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table" Target="../tables/table33.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printerSettings" Target="../printerSettings/printerSettings3.bin"/><Relationship Id="rId6" Type="http://schemas.openxmlformats.org/officeDocument/2006/relationships/table" Target="../tables/table39.xml"/><Relationship Id="rId5" Type="http://schemas.openxmlformats.org/officeDocument/2006/relationships/table" Target="../tables/table38.xml"/><Relationship Id="rId4" Type="http://schemas.openxmlformats.org/officeDocument/2006/relationships/table" Target="../tables/table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48206-8597-458B-BE9E-8352C780CCBC}">
  <dimension ref="C4:I20"/>
  <sheetViews>
    <sheetView showRowColHeaders="0" tabSelected="1" zoomScale="85" zoomScaleNormal="85" workbookViewId="0">
      <selection activeCell="C10" sqref="C10"/>
    </sheetView>
  </sheetViews>
  <sheetFormatPr defaultRowHeight="15" x14ac:dyDescent="0.25"/>
  <cols>
    <col min="1" max="2" width="9.140625" style="53"/>
    <col min="3" max="3" width="25" style="53" customWidth="1"/>
    <col min="4" max="4" width="9.140625" style="53"/>
    <col min="5" max="5" width="8" style="53" customWidth="1"/>
    <col min="6" max="6" width="6.5703125" style="53" customWidth="1"/>
    <col min="7" max="8" width="34.85546875" style="53" customWidth="1"/>
    <col min="9" max="9" width="46" style="53" customWidth="1"/>
    <col min="10" max="16384" width="9.140625" style="53"/>
  </cols>
  <sheetData>
    <row r="4" spans="3:9" ht="16.5" x14ac:dyDescent="0.3">
      <c r="C4" s="105" t="s">
        <v>512</v>
      </c>
      <c r="E4" s="108" t="s">
        <v>516</v>
      </c>
      <c r="F4" s="109"/>
      <c r="G4" s="109"/>
      <c r="H4" s="109"/>
      <c r="I4" s="110"/>
    </row>
    <row r="5" spans="3:9" ht="16.5" customHeight="1" x14ac:dyDescent="0.3">
      <c r="C5" s="152" t="s">
        <v>505</v>
      </c>
      <c r="E5" s="111" t="s">
        <v>525</v>
      </c>
      <c r="F5" s="112"/>
      <c r="G5" s="112"/>
      <c r="H5" s="112"/>
      <c r="I5" s="113"/>
    </row>
    <row r="6" spans="3:9" ht="16.5" x14ac:dyDescent="0.3">
      <c r="C6" s="152" t="s">
        <v>337</v>
      </c>
      <c r="E6" s="114"/>
      <c r="F6" s="107" t="s">
        <v>517</v>
      </c>
      <c r="G6" s="106" t="s">
        <v>520</v>
      </c>
      <c r="H6" s="106"/>
      <c r="I6" s="115"/>
    </row>
    <row r="7" spans="3:9" ht="16.5" customHeight="1" x14ac:dyDescent="0.3">
      <c r="C7" s="152" t="s">
        <v>506</v>
      </c>
      <c r="E7" s="114"/>
      <c r="F7" s="107" t="s">
        <v>518</v>
      </c>
      <c r="G7" s="106" t="s">
        <v>523</v>
      </c>
      <c r="H7" s="106"/>
      <c r="I7" s="115"/>
    </row>
    <row r="8" spans="3:9" ht="16.5" customHeight="1" x14ac:dyDescent="0.3">
      <c r="C8" s="152" t="s">
        <v>507</v>
      </c>
      <c r="E8" s="114"/>
      <c r="F8" s="116"/>
      <c r="G8" s="106"/>
      <c r="H8" s="106"/>
      <c r="I8" s="115"/>
    </row>
    <row r="9" spans="3:9" ht="16.5" x14ac:dyDescent="0.3">
      <c r="C9" s="152" t="s">
        <v>508</v>
      </c>
      <c r="E9" s="114"/>
      <c r="F9" s="107" t="s">
        <v>519</v>
      </c>
      <c r="G9" s="106" t="s">
        <v>521</v>
      </c>
      <c r="H9" s="106"/>
      <c r="I9" s="115"/>
    </row>
    <row r="10" spans="3:9" ht="16.5" x14ac:dyDescent="0.3">
      <c r="C10" s="152" t="s">
        <v>509</v>
      </c>
      <c r="E10" s="117"/>
      <c r="F10" s="107"/>
      <c r="G10" s="106"/>
      <c r="H10" s="106"/>
      <c r="I10" s="115"/>
    </row>
    <row r="11" spans="3:9" ht="16.5" x14ac:dyDescent="0.3">
      <c r="C11" s="152" t="s">
        <v>510</v>
      </c>
      <c r="E11" s="117"/>
      <c r="F11" s="116"/>
      <c r="G11" s="116"/>
      <c r="H11" s="116"/>
      <c r="I11" s="118"/>
    </row>
    <row r="12" spans="3:9" ht="16.5" customHeight="1" x14ac:dyDescent="0.3">
      <c r="C12" s="152" t="s">
        <v>511</v>
      </c>
      <c r="E12" s="119" t="s">
        <v>522</v>
      </c>
      <c r="F12" s="120"/>
      <c r="G12" s="120"/>
      <c r="H12" s="120"/>
      <c r="I12" s="121"/>
    </row>
    <row r="13" spans="3:9" x14ac:dyDescent="0.25">
      <c r="E13" s="119"/>
      <c r="F13" s="120"/>
      <c r="G13" s="120"/>
      <c r="H13" s="120"/>
      <c r="I13" s="121"/>
    </row>
    <row r="14" spans="3:9" x14ac:dyDescent="0.25">
      <c r="E14" s="122"/>
      <c r="F14" s="123"/>
      <c r="G14" s="123"/>
      <c r="H14" s="123"/>
      <c r="I14" s="124"/>
    </row>
    <row r="18" spans="3:3" ht="16.5" x14ac:dyDescent="0.3">
      <c r="C18" s="105" t="s">
        <v>513</v>
      </c>
    </row>
    <row r="19" spans="3:3" ht="16.5" x14ac:dyDescent="0.3">
      <c r="C19" s="152" t="s">
        <v>514</v>
      </c>
    </row>
    <row r="20" spans="3:3" ht="16.5" x14ac:dyDescent="0.3">
      <c r="C20" s="152" t="s">
        <v>515</v>
      </c>
    </row>
  </sheetData>
  <sheetProtection algorithmName="SHA-512" hashValue="bQOTsBP7RWGuwo9KxNiLyma0ftQSAb63zFag9eABRlMixWAp1/oxdcuKArTgtE+1Km9naOh8u/nb3D0bjBp+fg==" saltValue="MTw1jfd5hpirIzWZTTAexQ==" spinCount="100000" sheet="1" objects="1" scenarios="1" selectLockedCells="1"/>
  <mergeCells count="6">
    <mergeCell ref="G9:I10"/>
    <mergeCell ref="G7:I8"/>
    <mergeCell ref="E12:I14"/>
    <mergeCell ref="E4:I4"/>
    <mergeCell ref="E5:I5"/>
    <mergeCell ref="G6:I6"/>
  </mergeCells>
  <hyperlinks>
    <hyperlink ref="C5" location="'Group Match Input'!A1" display="Group Match Input" xr:uid="{A431ABCA-2CD1-4D2F-A059-FFD65D1E28D8}"/>
    <hyperlink ref="C6" location="'Group A'!A1" display="Group A" xr:uid="{82DC1600-2EA0-4D2B-B6C9-E607B7902751}"/>
    <hyperlink ref="C7" location="'Group B'!A1" display="Group B" xr:uid="{C647AF72-F487-4F16-944E-1BDBF787F0C9}"/>
    <hyperlink ref="C8" location="'Group C'!A1" display="Group C" xr:uid="{60B65650-4E29-48D3-BC01-2DAD80B3B2E2}"/>
    <hyperlink ref="C9" location="'Group D'!A1" display="Group D" xr:uid="{748D4488-2A4C-4A58-96F0-1458EFC886BB}"/>
    <hyperlink ref="C10" location="'Group E'!A1" display="Group E" xr:uid="{CC09ED06-238A-40EB-B8CC-7B39EF530CE9}"/>
    <hyperlink ref="C11" location="'Group F'!A1" display="Group F" xr:uid="{BE6544F1-8D3A-45E0-8825-A49B63E49448}"/>
    <hyperlink ref="C12" location="'3rd Place Table'!A1" display="3rd Place Table" xr:uid="{66DCCE85-A7E5-437D-8A14-5559213787AB}"/>
    <hyperlink ref="C19" location="'Knockout Match Input'!A1" display="Knockout Match Input" xr:uid="{DD6807F1-A599-4D4D-9453-7A9B2490D7E3}"/>
    <hyperlink ref="C20" location="'Knockout Results'!A1" display="Knockout Results" xr:uid="{E5115AF3-7901-4F54-86BB-98DFB04EB35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69091-1924-46FA-84C6-FDE949A5E9E4}">
  <dimension ref="B2:AD40"/>
  <sheetViews>
    <sheetView showRowColHeaders="0" zoomScale="85" zoomScaleNormal="85" workbookViewId="0">
      <pane xSplit="45" ySplit="4" topLeftCell="AT5" activePane="bottomRight" state="frozenSplit"/>
      <selection pane="topRight" activeCell="AT1" sqref="AT1"/>
      <selection pane="bottomLeft" activeCell="A5" sqref="A5"/>
      <selection pane="bottomRight" activeCell="V5" sqref="V5"/>
    </sheetView>
  </sheetViews>
  <sheetFormatPr defaultRowHeight="15" x14ac:dyDescent="0.25"/>
  <cols>
    <col min="1" max="1" width="9.140625" style="53"/>
    <col min="2" max="2" width="24.7109375" style="54" hidden="1" customWidth="1"/>
    <col min="3" max="3" width="14.42578125" style="53" hidden="1" customWidth="1"/>
    <col min="4" max="4" width="23.85546875" style="53" hidden="1" customWidth="1"/>
    <col min="5" max="6" width="23.28515625" style="53" hidden="1" customWidth="1"/>
    <col min="7" max="7" width="22.5703125" style="53" hidden="1" customWidth="1"/>
    <col min="8" max="8" width="14.42578125" style="53" hidden="1" customWidth="1"/>
    <col min="9" max="9" width="14.140625" style="53" hidden="1" customWidth="1"/>
    <col min="10" max="10" width="18" style="53" hidden="1" customWidth="1"/>
    <col min="11" max="11" width="17.5703125" style="53" hidden="1" customWidth="1"/>
    <col min="12" max="12" width="12.85546875" style="53" hidden="1" customWidth="1"/>
    <col min="13" max="16" width="17.5703125" style="53" hidden="1" customWidth="1"/>
    <col min="17" max="18" width="12.140625" style="54" customWidth="1"/>
    <col min="19" max="19" width="17.140625" style="98" customWidth="1"/>
    <col min="20" max="20" width="21.42578125" style="53" bestFit="1" customWidth="1"/>
    <col min="21" max="21" width="20" style="53" customWidth="1"/>
    <col min="22" max="25" width="10.42578125" style="54" customWidth="1"/>
    <col min="26" max="26" width="20" style="53" customWidth="1"/>
    <col min="27" max="30" width="10.42578125" style="54" customWidth="1"/>
    <col min="31" max="16384" width="9.140625" style="53"/>
  </cols>
  <sheetData>
    <row r="2" spans="2:30" x14ac:dyDescent="0.25">
      <c r="AD2" s="104" t="s">
        <v>504</v>
      </c>
    </row>
    <row r="4" spans="2:30" s="156" customFormat="1" ht="28.5" x14ac:dyDescent="0.25">
      <c r="B4" s="156" t="s">
        <v>41</v>
      </c>
      <c r="C4" s="156" t="s">
        <v>40</v>
      </c>
      <c r="D4" s="156" t="s">
        <v>36</v>
      </c>
      <c r="E4" s="156" t="s">
        <v>37</v>
      </c>
      <c r="F4" s="156" t="s">
        <v>200</v>
      </c>
      <c r="G4" s="156" t="s">
        <v>201</v>
      </c>
      <c r="H4" s="156" t="s">
        <v>250</v>
      </c>
      <c r="I4" s="156" t="s">
        <v>146</v>
      </c>
      <c r="J4" s="156" t="s">
        <v>147</v>
      </c>
      <c r="K4" s="156" t="s">
        <v>149</v>
      </c>
      <c r="L4" s="156" t="s">
        <v>441</v>
      </c>
      <c r="M4" s="156" t="s">
        <v>192</v>
      </c>
      <c r="N4" s="156" t="s">
        <v>193</v>
      </c>
      <c r="O4" s="156" t="s">
        <v>194</v>
      </c>
      <c r="P4" s="156" t="s">
        <v>195</v>
      </c>
      <c r="Q4" s="159" t="s">
        <v>148</v>
      </c>
      <c r="R4" s="159" t="s">
        <v>25</v>
      </c>
      <c r="S4" s="160" t="s">
        <v>189</v>
      </c>
      <c r="T4" s="159" t="s">
        <v>177</v>
      </c>
      <c r="U4" s="159" t="s">
        <v>178</v>
      </c>
      <c r="V4" s="159" t="s">
        <v>179</v>
      </c>
      <c r="W4" s="159" t="s">
        <v>181</v>
      </c>
      <c r="X4" s="159" t="s">
        <v>180</v>
      </c>
      <c r="Y4" s="159" t="s">
        <v>182</v>
      </c>
      <c r="Z4" s="159" t="s">
        <v>183</v>
      </c>
      <c r="AA4" s="159" t="s">
        <v>184</v>
      </c>
      <c r="AB4" s="159" t="s">
        <v>185</v>
      </c>
      <c r="AC4" s="159" t="s">
        <v>186</v>
      </c>
      <c r="AD4" s="159" t="s">
        <v>187</v>
      </c>
    </row>
    <row r="5" spans="2:30" x14ac:dyDescent="0.25">
      <c r="B5" s="54">
        <v>1</v>
      </c>
      <c r="C5" s="53" t="str">
        <f>INDEX(lkupGroupGame[],MATCH(tblGroupMatch[[#This Row],[Euro_Match_Number]],lkupGroupGame[Euro_Match_Number],0),MATCH(tblGroupMatch[[#Headers],[Group_Code]],lkupGroupGame[#Headers],0))</f>
        <v>A</v>
      </c>
      <c r="D5" s="53">
        <f>INDEX(lkupGroupGame[],MATCH(tblGroupMatch[[#This Row],[Euro_Match_Number]],lkupGroupGame[Euro_Match_Number],0),MATCH(tblGroupMatch[[#Headers],[Home_Group_Number]],lkupGroupGame[#Headers],0))</f>
        <v>1</v>
      </c>
      <c r="E5" s="53">
        <f>INDEX(lkupGroupGame[],MATCH(tblGroupMatch[[#This Row],[Euro_Match_Number]],lkupGroupGame[Euro_Match_Number],0),MATCH(tblGroupMatch[[#Headers],[Away_Group_Number]],lkupGroupGame[#Headers],0))</f>
        <v>2</v>
      </c>
      <c r="F5" s="53">
        <f>INDEX(lkupTeam[],MATCH(tblGroupMatch[[#This Row],[Group_Code]]&amp;tblGroupMatch[[#This Row],[Home_Group_Number]],lkupTeam[Team_Code],0),MATCH("Team_Number",lkupTeam[#Headers],0))</f>
        <v>1</v>
      </c>
      <c r="G5" s="53">
        <f>INDEX(lkupTeam[],MATCH(tblGroupMatch[[#This Row],[Group_Code]]&amp;tblGroupMatch[[#This Row],[Away_Group_Number]],lkupTeam[Team_Code],0),MATCH("Team_Number",lkupTeam[#Headers],0))</f>
        <v>2</v>
      </c>
      <c r="H5" s="53" t="str">
        <f>tblGroupMatch[[#This Row],[Group_Code]]&amp;MIN(tblGroupMatch[[#This Row],[Home_Group_Number]:[Away_Group_Number]])&amp;MAX(tblGroupMatch[[#This Row],[Home_Group_Number]:[Away_Group_Number]])</f>
        <v>A12</v>
      </c>
      <c r="I5" s="53">
        <f>INDEX(lkupGroupGame[],MATCH(tblGroupMatch[[#This Row],[Euro_Match_Number]],lkupGroupGame[Euro_Match_Number],0),MATCH(tblGroupMatch[[#Headers],[Match_Date]],lkupGroupGame[#Headers],0))</f>
        <v>44358</v>
      </c>
      <c r="J5" s="53">
        <f>INDEX(lkupGroupGame[],MATCH(tblGroupMatch[[#This Row],[Euro_Match_Number]],lkupGroupGame[Euro_Match_Number],0),MATCH(tblGroupMatch[[#Headers],[Match_Time_UK]],lkupGroupGame[#Headers],0))</f>
        <v>0.83333333333333337</v>
      </c>
      <c r="K5" s="53">
        <f>INDEX(lkupGroupGame[],MATCH(tblGroupMatch[[#This Row],[Euro_Match_Number]],lkupGroupGame[Euro_Match_Number],0),MATCH(tblGroupMatch[[#Headers],[Venue_Number]],lkupGroupGame[#Headers],0))</f>
        <v>2</v>
      </c>
      <c r="L5" s="53" t="str">
        <f>INDEX(lkupGroupGame[],MATCH(tblGroupMatch[[#This Row],[Euro_Match_Number]],lkupGroupGame[Euro_Match_Number],0),MATCH(tblGroupMatch[[#Headers],[TV_Station]],lkupGroupGame[#Headers],0))</f>
        <v>BBC</v>
      </c>
      <c r="M5" s="53" t="b">
        <f>AND(LEN(tblGroupMatch[[#This Row],[Team A Goals]])&gt;0,LEN(tblGroupMatch[[#This Row],[Team B Goals]])&gt;0,LEN(tblGroupMatch[[#This Row],[Team A YCs]])&gt;0,LEN(tblGroupMatch[[#This Row],[Team A RCs]])&gt;0,LEN(tblGroupMatch[[#This Row],[Team B Ycs]])&gt;0,LEN(tblGroupMatch[[#This Row],[Team B RCs]])&gt;0)</f>
        <v>0</v>
      </c>
      <c r="N5" s="53" t="b">
        <f>AND(tblGroupMatch[[#This Row],[Is_Complete]],OR(tblGroupMatch[[#This Row],[Team A Goals]]&gt;tblGroupMatch[[#This Row],[Team B Goals]],tblGroupMatch[[#This Row],[Team B Goals]]&gt;tblGroupMatch[[#This Row],[Team A Goals]]))</f>
        <v>0</v>
      </c>
      <c r="O5" s="53" t="str">
        <f>IF(tblGroupMatch[[#This Row],[Is_Complete]],IF(NOT(tblGroupMatch[[#This Row],[Is_Win]]),1,IF(tblGroupMatch[[#This Row],[Team A Goals]]&gt;tblGroupMatch[[#This Row],[Team B Goals]],3,0)),"")</f>
        <v/>
      </c>
      <c r="P5" s="53" t="str">
        <f>IF(tblGroupMatch[[#This Row],[Is_Complete]],IF(NOT(tblGroupMatch[[#This Row],[Is_Win]]),1,IF(tblGroupMatch[[#This Row],[Home_Points]]=0,3,0)),"")</f>
        <v/>
      </c>
      <c r="Q5" s="99">
        <f>tblGroupMatch[[#This Row],[Euro_Match_Number]]</f>
        <v>1</v>
      </c>
      <c r="R5" s="99" t="str">
        <f>tblGroupMatch[[#This Row],[Group_Code]]</f>
        <v>A</v>
      </c>
      <c r="S5" s="100">
        <f>SUM(tblGroupMatch[[#This Row],[Match_Date]],tblGroupMatch[[#This Row],[Match_Time_UK]])</f>
        <v>44358.833333333336</v>
      </c>
      <c r="T5" s="99" t="str">
        <f>INDEX(lkupVenue[],MATCH(tblGroupMatch[[#This Row],[Venue_Number]],lkupVenue[Venue_Number],0),MATCH("Venue_Short",lkupVenue[#Headers],0))</f>
        <v>Stadio Olimpico (ITA)</v>
      </c>
      <c r="U5" s="99" t="str">
        <f>INDEX(lkupTeam[],MATCH(tblGroupMatch[[#This Row],[Home_Team_Number]],lkupTeam[Team_Number],0),MATCH("Team",lkupTeam[#Headers],0))</f>
        <v>Turkey</v>
      </c>
      <c r="V5" s="101"/>
      <c r="W5" s="101"/>
      <c r="X5" s="101"/>
      <c r="Y5" s="102"/>
      <c r="Z5" s="99" t="str">
        <f>INDEX(lkupTeam[],MATCH(tblGroupMatch[[#This Row],[Away_Team_Number]],lkupTeam[Team_Number],0),MATCH("Team",lkupTeam[#Headers],0))</f>
        <v>Italy</v>
      </c>
      <c r="AA5" s="101"/>
      <c r="AB5" s="101"/>
      <c r="AC5" s="101"/>
      <c r="AD5" s="102"/>
    </row>
    <row r="6" spans="2:30" x14ac:dyDescent="0.25">
      <c r="B6" s="54">
        <v>2</v>
      </c>
      <c r="C6" s="53" t="str">
        <f>INDEX(lkupGroupGame[],MATCH(tblGroupMatch[[#This Row],[Euro_Match_Number]],lkupGroupGame[Euro_Match_Number],0),MATCH(tblGroupMatch[[#Headers],[Group_Code]],lkupGroupGame[#Headers],0))</f>
        <v>A</v>
      </c>
      <c r="D6" s="53">
        <f>INDEX(lkupGroupGame[],MATCH(tblGroupMatch[[#This Row],[Euro_Match_Number]],lkupGroupGame[Euro_Match_Number],0),MATCH(tblGroupMatch[[#Headers],[Home_Group_Number]],lkupGroupGame[#Headers],0))</f>
        <v>3</v>
      </c>
      <c r="E6" s="53">
        <f>INDEX(lkupGroupGame[],MATCH(tblGroupMatch[[#This Row],[Euro_Match_Number]],lkupGroupGame[Euro_Match_Number],0),MATCH(tblGroupMatch[[#Headers],[Away_Group_Number]],lkupGroupGame[#Headers],0))</f>
        <v>4</v>
      </c>
      <c r="F6" s="53">
        <f>INDEX(lkupTeam[],MATCH(tblGroupMatch[[#This Row],[Group_Code]]&amp;tblGroupMatch[[#This Row],[Home_Group_Number]],lkupTeam[Team_Code],0),MATCH("Team_Number",lkupTeam[#Headers],0))</f>
        <v>3</v>
      </c>
      <c r="G6" s="53">
        <f>INDEX(lkupTeam[],MATCH(tblGroupMatch[[#This Row],[Group_Code]]&amp;tblGroupMatch[[#This Row],[Away_Group_Number]],lkupTeam[Team_Code],0),MATCH("Team_Number",lkupTeam[#Headers],0))</f>
        <v>4</v>
      </c>
      <c r="H6" s="53" t="str">
        <f>tblGroupMatch[[#This Row],[Group_Code]]&amp;MIN(tblGroupMatch[[#This Row],[Home_Group_Number]:[Away_Group_Number]])&amp;MAX(tblGroupMatch[[#This Row],[Home_Group_Number]:[Away_Group_Number]])</f>
        <v>A34</v>
      </c>
      <c r="I6" s="53">
        <f>INDEX(lkupGroupGame[],MATCH(tblGroupMatch[[#This Row],[Euro_Match_Number]],lkupGroupGame[Euro_Match_Number],0),MATCH(tblGroupMatch[[#Headers],[Match_Date]],lkupGroupGame[#Headers],0))</f>
        <v>44359</v>
      </c>
      <c r="J6" s="53">
        <f>INDEX(lkupGroupGame[],MATCH(tblGroupMatch[[#This Row],[Euro_Match_Number]],lkupGroupGame[Euro_Match_Number],0),MATCH(tblGroupMatch[[#Headers],[Match_Time_UK]],lkupGroupGame[#Headers],0))</f>
        <v>0.58333333333333337</v>
      </c>
      <c r="K6" s="53">
        <f>INDEX(lkupGroupGame[],MATCH(tblGroupMatch[[#This Row],[Euro_Match_Number]],lkupGroupGame[Euro_Match_Number],0),MATCH(tblGroupMatch[[#Headers],[Venue_Number]],lkupGroupGame[#Headers],0))</f>
        <v>4</v>
      </c>
      <c r="L6" s="53" t="str">
        <f>INDEX(lkupGroupGame[],MATCH(tblGroupMatch[[#This Row],[Euro_Match_Number]],lkupGroupGame[Euro_Match_Number],0),MATCH(tblGroupMatch[[#Headers],[TV_Station]],lkupGroupGame[#Headers],0))</f>
        <v>BBC</v>
      </c>
      <c r="M6" s="53" t="b">
        <f>AND(LEN(tblGroupMatch[[#This Row],[Team A Goals]])&gt;0,LEN(tblGroupMatch[[#This Row],[Team B Goals]])&gt;0,LEN(tblGroupMatch[[#This Row],[Team A YCs]])&gt;0,LEN(tblGroupMatch[[#This Row],[Team A RCs]])&gt;0,LEN(tblGroupMatch[[#This Row],[Team B Ycs]])&gt;0,LEN(tblGroupMatch[[#This Row],[Team B RCs]])&gt;0)</f>
        <v>0</v>
      </c>
      <c r="N6" s="53" t="b">
        <f>AND(tblGroupMatch[[#This Row],[Is_Complete]],OR(tblGroupMatch[[#This Row],[Team A Goals]]&gt;tblGroupMatch[[#This Row],[Team B Goals]],tblGroupMatch[[#This Row],[Team B Goals]]&gt;tblGroupMatch[[#This Row],[Team A Goals]]))</f>
        <v>0</v>
      </c>
      <c r="O6" s="53" t="str">
        <f>IF(tblGroupMatch[[#This Row],[Is_Complete]],IF(NOT(tblGroupMatch[[#This Row],[Is_Win]]),1,IF(tblGroupMatch[[#This Row],[Team A Goals]]&gt;tblGroupMatch[[#This Row],[Team B Goals]],3,0)),"")</f>
        <v/>
      </c>
      <c r="P6" s="53" t="str">
        <f>IF(tblGroupMatch[[#This Row],[Is_Complete]],IF(NOT(tblGroupMatch[[#This Row],[Is_Win]]),1,IF(tblGroupMatch[[#This Row],[Home_Points]]=0,3,0)),"")</f>
        <v/>
      </c>
      <c r="Q6" s="99">
        <f>tblGroupMatch[[#This Row],[Euro_Match_Number]]</f>
        <v>2</v>
      </c>
      <c r="R6" s="99" t="str">
        <f>tblGroupMatch[[#This Row],[Group_Code]]</f>
        <v>A</v>
      </c>
      <c r="S6" s="100">
        <f>SUM(tblGroupMatch[[#This Row],[Match_Date]],tblGroupMatch[[#This Row],[Match_Time_UK]])</f>
        <v>44359.583333333336</v>
      </c>
      <c r="T6" s="99" t="str">
        <f>INDEX(lkupVenue[],MATCH(tblGroupMatch[[#This Row],[Venue_Number]],lkupVenue[Venue_Number],0),MATCH("Venue_Short",lkupVenue[#Headers],0))</f>
        <v>Olympic Stadium (AZE)</v>
      </c>
      <c r="U6" s="99" t="str">
        <f>INDEX(lkupTeam[],MATCH(tblGroupMatch[[#This Row],[Home_Team_Number]],lkupTeam[Team_Number],0),MATCH("Team",lkupTeam[#Headers],0))</f>
        <v>Wales</v>
      </c>
      <c r="V6" s="101"/>
      <c r="W6" s="101"/>
      <c r="X6" s="101"/>
      <c r="Y6" s="102"/>
      <c r="Z6" s="99" t="str">
        <f>INDEX(lkupTeam[],MATCH(tblGroupMatch[[#This Row],[Away_Team_Number]],lkupTeam[Team_Number],0),MATCH("Team",lkupTeam[#Headers],0))</f>
        <v>Switzerland</v>
      </c>
      <c r="AA6" s="101"/>
      <c r="AB6" s="101"/>
      <c r="AC6" s="101"/>
      <c r="AD6" s="102"/>
    </row>
    <row r="7" spans="2:30" x14ac:dyDescent="0.25">
      <c r="B7" s="54">
        <v>3</v>
      </c>
      <c r="C7" s="53" t="str">
        <f>INDEX(lkupGroupGame[],MATCH(tblGroupMatch[[#This Row],[Euro_Match_Number]],lkupGroupGame[Euro_Match_Number],0),MATCH(tblGroupMatch[[#Headers],[Group_Code]],lkupGroupGame[#Headers],0))</f>
        <v>B</v>
      </c>
      <c r="D7" s="53">
        <f>INDEX(lkupGroupGame[],MATCH(tblGroupMatch[[#This Row],[Euro_Match_Number]],lkupGroupGame[Euro_Match_Number],0),MATCH(tblGroupMatch[[#Headers],[Home_Group_Number]],lkupGroupGame[#Headers],0))</f>
        <v>1</v>
      </c>
      <c r="E7" s="53">
        <f>INDEX(lkupGroupGame[],MATCH(tblGroupMatch[[#This Row],[Euro_Match_Number]],lkupGroupGame[Euro_Match_Number],0),MATCH(tblGroupMatch[[#Headers],[Away_Group_Number]],lkupGroupGame[#Headers],0))</f>
        <v>2</v>
      </c>
      <c r="F7" s="53">
        <f>INDEX(lkupTeam[],MATCH(tblGroupMatch[[#This Row],[Group_Code]]&amp;tblGroupMatch[[#This Row],[Home_Group_Number]],lkupTeam[Team_Code],0),MATCH("Team_Number",lkupTeam[#Headers],0))</f>
        <v>5</v>
      </c>
      <c r="G7" s="53">
        <f>INDEX(lkupTeam[],MATCH(tblGroupMatch[[#This Row],[Group_Code]]&amp;tblGroupMatch[[#This Row],[Away_Group_Number]],lkupTeam[Team_Code],0),MATCH("Team_Number",lkupTeam[#Headers],0))</f>
        <v>6</v>
      </c>
      <c r="H7" s="53" t="str">
        <f>tblGroupMatch[[#This Row],[Group_Code]]&amp;MIN(tblGroupMatch[[#This Row],[Home_Group_Number]:[Away_Group_Number]])&amp;MAX(tblGroupMatch[[#This Row],[Home_Group_Number]:[Away_Group_Number]])</f>
        <v>B12</v>
      </c>
      <c r="I7" s="53">
        <f>INDEX(lkupGroupGame[],MATCH(tblGroupMatch[[#This Row],[Euro_Match_Number]],lkupGroupGame[Euro_Match_Number],0),MATCH(tblGroupMatch[[#Headers],[Match_Date]],lkupGroupGame[#Headers],0))</f>
        <v>44359</v>
      </c>
      <c r="J7" s="53">
        <f>INDEX(lkupGroupGame[],MATCH(tblGroupMatch[[#This Row],[Euro_Match_Number]],lkupGroupGame[Euro_Match_Number],0),MATCH(tblGroupMatch[[#Headers],[Match_Time_UK]],lkupGroupGame[#Headers],0))</f>
        <v>0.70833333333333337</v>
      </c>
      <c r="K7" s="53">
        <f>INDEX(lkupGroupGame[],MATCH(tblGroupMatch[[#This Row],[Euro_Match_Number]],lkupGroupGame[Euro_Match_Number],0),MATCH(tblGroupMatch[[#Headers],[Venue_Number]],lkupGroupGame[#Headers],0))</f>
        <v>11</v>
      </c>
      <c r="L7" s="53" t="str">
        <f>INDEX(lkupGroupGame[],MATCH(tblGroupMatch[[#This Row],[Euro_Match_Number]],lkupGroupGame[Euro_Match_Number],0),MATCH(tblGroupMatch[[#Headers],[TV_Station]],lkupGroupGame[#Headers],0))</f>
        <v>BBC</v>
      </c>
      <c r="M7" s="53" t="b">
        <f>AND(LEN(tblGroupMatch[[#This Row],[Team A Goals]])&gt;0,LEN(tblGroupMatch[[#This Row],[Team B Goals]])&gt;0,LEN(tblGroupMatch[[#This Row],[Team A YCs]])&gt;0,LEN(tblGroupMatch[[#This Row],[Team A RCs]])&gt;0,LEN(tblGroupMatch[[#This Row],[Team B Ycs]])&gt;0,LEN(tblGroupMatch[[#This Row],[Team B RCs]])&gt;0)</f>
        <v>0</v>
      </c>
      <c r="N7" s="53" t="b">
        <f>AND(tblGroupMatch[[#This Row],[Is_Complete]],OR(tblGroupMatch[[#This Row],[Team A Goals]]&gt;tblGroupMatch[[#This Row],[Team B Goals]],tblGroupMatch[[#This Row],[Team B Goals]]&gt;tblGroupMatch[[#This Row],[Team A Goals]]))</f>
        <v>0</v>
      </c>
      <c r="O7" s="53" t="str">
        <f>IF(tblGroupMatch[[#This Row],[Is_Complete]],IF(NOT(tblGroupMatch[[#This Row],[Is_Win]]),1,IF(tblGroupMatch[[#This Row],[Team A Goals]]&gt;tblGroupMatch[[#This Row],[Team B Goals]],3,0)),"")</f>
        <v/>
      </c>
      <c r="P7" s="53" t="str">
        <f>IF(tblGroupMatch[[#This Row],[Is_Complete]],IF(NOT(tblGroupMatch[[#This Row],[Is_Win]]),1,IF(tblGroupMatch[[#This Row],[Home_Points]]=0,3,0)),"")</f>
        <v/>
      </c>
      <c r="Q7" s="99">
        <f>tblGroupMatch[[#This Row],[Euro_Match_Number]]</f>
        <v>3</v>
      </c>
      <c r="R7" s="99" t="str">
        <f>tblGroupMatch[[#This Row],[Group_Code]]</f>
        <v>B</v>
      </c>
      <c r="S7" s="100">
        <f>SUM(tblGroupMatch[[#This Row],[Match_Date]],tblGroupMatch[[#This Row],[Match_Time_UK]])</f>
        <v>44359.708333333336</v>
      </c>
      <c r="T7" s="99" t="str">
        <f>INDEX(lkupVenue[],MATCH(tblGroupMatch[[#This Row],[Venue_Number]],lkupVenue[Venue_Number],0),MATCH("Venue_Short",lkupVenue[#Headers],0))</f>
        <v>Parken Stadium (DEN)</v>
      </c>
      <c r="U7" s="99" t="str">
        <f>INDEX(lkupTeam[],MATCH(tblGroupMatch[[#This Row],[Home_Team_Number]],lkupTeam[Team_Number],0),MATCH("Team",lkupTeam[#Headers],0))</f>
        <v>Denmark</v>
      </c>
      <c r="V7" s="101"/>
      <c r="W7" s="101"/>
      <c r="X7" s="101"/>
      <c r="Y7" s="102"/>
      <c r="Z7" s="99" t="str">
        <f>INDEX(lkupTeam[],MATCH(tblGroupMatch[[#This Row],[Away_Team_Number]],lkupTeam[Team_Number],0),MATCH("Team",lkupTeam[#Headers],0))</f>
        <v>Finland</v>
      </c>
      <c r="AA7" s="101"/>
      <c r="AB7" s="101"/>
      <c r="AC7" s="101"/>
      <c r="AD7" s="102"/>
    </row>
    <row r="8" spans="2:30" x14ac:dyDescent="0.25">
      <c r="B8" s="54">
        <v>4</v>
      </c>
      <c r="C8" s="53" t="str">
        <f>INDEX(lkupGroupGame[],MATCH(tblGroupMatch[[#This Row],[Euro_Match_Number]],lkupGroupGame[Euro_Match_Number],0),MATCH(tblGroupMatch[[#Headers],[Group_Code]],lkupGroupGame[#Headers],0))</f>
        <v>B</v>
      </c>
      <c r="D8" s="53">
        <f>INDEX(lkupGroupGame[],MATCH(tblGroupMatch[[#This Row],[Euro_Match_Number]],lkupGroupGame[Euro_Match_Number],0),MATCH(tblGroupMatch[[#Headers],[Home_Group_Number]],lkupGroupGame[#Headers],0))</f>
        <v>3</v>
      </c>
      <c r="E8" s="53">
        <f>INDEX(lkupGroupGame[],MATCH(tblGroupMatch[[#This Row],[Euro_Match_Number]],lkupGroupGame[Euro_Match_Number],0),MATCH(tblGroupMatch[[#Headers],[Away_Group_Number]],lkupGroupGame[#Headers],0))</f>
        <v>4</v>
      </c>
      <c r="F8" s="53">
        <f>INDEX(lkupTeam[],MATCH(tblGroupMatch[[#This Row],[Group_Code]]&amp;tblGroupMatch[[#This Row],[Home_Group_Number]],lkupTeam[Team_Code],0),MATCH("Team_Number",lkupTeam[#Headers],0))</f>
        <v>7</v>
      </c>
      <c r="G8" s="53">
        <f>INDEX(lkupTeam[],MATCH(tblGroupMatch[[#This Row],[Group_Code]]&amp;tblGroupMatch[[#This Row],[Away_Group_Number]],lkupTeam[Team_Code],0),MATCH("Team_Number",lkupTeam[#Headers],0))</f>
        <v>8</v>
      </c>
      <c r="H8" s="53" t="str">
        <f>tblGroupMatch[[#This Row],[Group_Code]]&amp;MIN(tblGroupMatch[[#This Row],[Home_Group_Number]:[Away_Group_Number]])&amp;MAX(tblGroupMatch[[#This Row],[Home_Group_Number]:[Away_Group_Number]])</f>
        <v>B34</v>
      </c>
      <c r="I8" s="53">
        <f>INDEX(lkupGroupGame[],MATCH(tblGroupMatch[[#This Row],[Euro_Match_Number]],lkupGroupGame[Euro_Match_Number],0),MATCH(tblGroupMatch[[#Headers],[Match_Date]],lkupGroupGame[#Headers],0))</f>
        <v>44359</v>
      </c>
      <c r="J8" s="53">
        <f>INDEX(lkupGroupGame[],MATCH(tblGroupMatch[[#This Row],[Euro_Match_Number]],lkupGroupGame[Euro_Match_Number],0),MATCH(tblGroupMatch[[#Headers],[Match_Time_UK]],lkupGroupGame[#Headers],0))</f>
        <v>0.83333333333333337</v>
      </c>
      <c r="K8" s="53">
        <f>INDEX(lkupGroupGame[],MATCH(tblGroupMatch[[#This Row],[Euro_Match_Number]],lkupGroupGame[Euro_Match_Number],0),MATCH(tblGroupMatch[[#Headers],[Venue_Number]],lkupGroupGame[#Headers],0))</f>
        <v>5</v>
      </c>
      <c r="L8" s="53" t="str">
        <f>INDEX(lkupGroupGame[],MATCH(tblGroupMatch[[#This Row],[Euro_Match_Number]],lkupGroupGame[Euro_Match_Number],0),MATCH(tblGroupMatch[[#Headers],[TV_Station]],lkupGroupGame[#Headers],0))</f>
        <v>iTV</v>
      </c>
      <c r="M8" s="53" t="b">
        <f>AND(LEN(tblGroupMatch[[#This Row],[Team A Goals]])&gt;0,LEN(tblGroupMatch[[#This Row],[Team B Goals]])&gt;0,LEN(tblGroupMatch[[#This Row],[Team A YCs]])&gt;0,LEN(tblGroupMatch[[#This Row],[Team A RCs]])&gt;0,LEN(tblGroupMatch[[#This Row],[Team B Ycs]])&gt;0,LEN(tblGroupMatch[[#This Row],[Team B RCs]])&gt;0)</f>
        <v>0</v>
      </c>
      <c r="N8" s="53" t="b">
        <f>AND(tblGroupMatch[[#This Row],[Is_Complete]],OR(tblGroupMatch[[#This Row],[Team A Goals]]&gt;tblGroupMatch[[#This Row],[Team B Goals]],tblGroupMatch[[#This Row],[Team B Goals]]&gt;tblGroupMatch[[#This Row],[Team A Goals]]))</f>
        <v>0</v>
      </c>
      <c r="O8" s="53" t="str">
        <f>IF(tblGroupMatch[[#This Row],[Is_Complete]],IF(NOT(tblGroupMatch[[#This Row],[Is_Win]]),1,IF(tblGroupMatch[[#This Row],[Team A Goals]]&gt;tblGroupMatch[[#This Row],[Team B Goals]],3,0)),"")</f>
        <v/>
      </c>
      <c r="P8" s="53" t="str">
        <f>IF(tblGroupMatch[[#This Row],[Is_Complete]],IF(NOT(tblGroupMatch[[#This Row],[Is_Win]]),1,IF(tblGroupMatch[[#This Row],[Home_Points]]=0,3,0)),"")</f>
        <v/>
      </c>
      <c r="Q8" s="99">
        <f>tblGroupMatch[[#This Row],[Euro_Match_Number]]</f>
        <v>4</v>
      </c>
      <c r="R8" s="99" t="str">
        <f>tblGroupMatch[[#This Row],[Group_Code]]</f>
        <v>B</v>
      </c>
      <c r="S8" s="100">
        <f>SUM(tblGroupMatch[[#This Row],[Match_Date]],tblGroupMatch[[#This Row],[Match_Time_UK]])</f>
        <v>44359.833333333336</v>
      </c>
      <c r="T8" s="99" t="str">
        <f>INDEX(lkupVenue[],MATCH(tblGroupMatch[[#This Row],[Venue_Number]],lkupVenue[Venue_Number],0),MATCH("Venue_Short",lkupVenue[#Headers],0))</f>
        <v>Krestovsky Stadium (RUS)</v>
      </c>
      <c r="U8" s="99" t="str">
        <f>INDEX(lkupTeam[],MATCH(tblGroupMatch[[#This Row],[Home_Team_Number]],lkupTeam[Team_Number],0),MATCH("Team",lkupTeam[#Headers],0))</f>
        <v>Belgium</v>
      </c>
      <c r="V8" s="101"/>
      <c r="W8" s="101"/>
      <c r="X8" s="101"/>
      <c r="Y8" s="102"/>
      <c r="Z8" s="99" t="str">
        <f>INDEX(lkupTeam[],MATCH(tblGroupMatch[[#This Row],[Away_Team_Number]],lkupTeam[Team_Number],0),MATCH("Team",lkupTeam[#Headers],0))</f>
        <v>Russia</v>
      </c>
      <c r="AA8" s="101"/>
      <c r="AB8" s="101"/>
      <c r="AC8" s="101"/>
      <c r="AD8" s="102"/>
    </row>
    <row r="9" spans="2:30" x14ac:dyDescent="0.25">
      <c r="B9" s="54">
        <v>7</v>
      </c>
      <c r="C9" s="53" t="str">
        <f>INDEX(lkupGroupGame[],MATCH(tblGroupMatch[[#This Row],[Euro_Match_Number]],lkupGroupGame[Euro_Match_Number],0),MATCH(tblGroupMatch[[#Headers],[Group_Code]],lkupGroupGame[#Headers],0))</f>
        <v>D</v>
      </c>
      <c r="D9" s="53">
        <f>INDEX(lkupGroupGame[],MATCH(tblGroupMatch[[#This Row],[Euro_Match_Number]],lkupGroupGame[Euro_Match_Number],0),MATCH(tblGroupMatch[[#Headers],[Home_Group_Number]],lkupGroupGame[#Headers],0))</f>
        <v>1</v>
      </c>
      <c r="E9" s="53">
        <f>INDEX(lkupGroupGame[],MATCH(tblGroupMatch[[#This Row],[Euro_Match_Number]],lkupGroupGame[Euro_Match_Number],0),MATCH(tblGroupMatch[[#Headers],[Away_Group_Number]],lkupGroupGame[#Headers],0))</f>
        <v>2</v>
      </c>
      <c r="F9" s="53">
        <f>INDEX(lkupTeam[],MATCH(tblGroupMatch[[#This Row],[Group_Code]]&amp;tblGroupMatch[[#This Row],[Home_Group_Number]],lkupTeam[Team_Code],0),MATCH("Team_Number",lkupTeam[#Headers],0))</f>
        <v>13</v>
      </c>
      <c r="G9" s="53">
        <f>INDEX(lkupTeam[],MATCH(tblGroupMatch[[#This Row],[Group_Code]]&amp;tblGroupMatch[[#This Row],[Away_Group_Number]],lkupTeam[Team_Code],0),MATCH("Team_Number",lkupTeam[#Headers],0))</f>
        <v>14</v>
      </c>
      <c r="H9" s="53" t="str">
        <f>tblGroupMatch[[#This Row],[Group_Code]]&amp;MIN(tblGroupMatch[[#This Row],[Home_Group_Number]:[Away_Group_Number]])&amp;MAX(tblGroupMatch[[#This Row],[Home_Group_Number]:[Away_Group_Number]])</f>
        <v>D12</v>
      </c>
      <c r="I9" s="53">
        <f>INDEX(lkupGroupGame[],MATCH(tblGroupMatch[[#This Row],[Euro_Match_Number]],lkupGroupGame[Euro_Match_Number],0),MATCH(tblGroupMatch[[#Headers],[Match_Date]],lkupGroupGame[#Headers],0))</f>
        <v>44360</v>
      </c>
      <c r="J9" s="53">
        <f>INDEX(lkupGroupGame[],MATCH(tblGroupMatch[[#This Row],[Euro_Match_Number]],lkupGroupGame[Euro_Match_Number],0),MATCH(tblGroupMatch[[#Headers],[Match_Time_UK]],lkupGroupGame[#Headers],0))</f>
        <v>0.58333333333333337</v>
      </c>
      <c r="K9" s="53">
        <f>INDEX(lkupGroupGame[],MATCH(tblGroupMatch[[#This Row],[Euro_Match_Number]],lkupGroupGame[Euro_Match_Number],0),MATCH(tblGroupMatch[[#Headers],[Venue_Number]],lkupGroupGame[#Headers],0))</f>
        <v>1</v>
      </c>
      <c r="L9" s="53" t="str">
        <f>INDEX(lkupGroupGame[],MATCH(tblGroupMatch[[#This Row],[Euro_Match_Number]],lkupGroupGame[Euro_Match_Number],0),MATCH(tblGroupMatch[[#Headers],[TV_Station]],lkupGroupGame[#Headers],0))</f>
        <v>BBC</v>
      </c>
      <c r="M9" s="53" t="b">
        <f>AND(LEN(tblGroupMatch[[#This Row],[Team A Goals]])&gt;0,LEN(tblGroupMatch[[#This Row],[Team B Goals]])&gt;0,LEN(tblGroupMatch[[#This Row],[Team A YCs]])&gt;0,LEN(tblGroupMatch[[#This Row],[Team A RCs]])&gt;0,LEN(tblGroupMatch[[#This Row],[Team B Ycs]])&gt;0,LEN(tblGroupMatch[[#This Row],[Team B RCs]])&gt;0)</f>
        <v>0</v>
      </c>
      <c r="N9" s="53" t="b">
        <f>AND(tblGroupMatch[[#This Row],[Is_Complete]],OR(tblGroupMatch[[#This Row],[Team A Goals]]&gt;tblGroupMatch[[#This Row],[Team B Goals]],tblGroupMatch[[#This Row],[Team B Goals]]&gt;tblGroupMatch[[#This Row],[Team A Goals]]))</f>
        <v>0</v>
      </c>
      <c r="O9" s="53" t="str">
        <f>IF(tblGroupMatch[[#This Row],[Is_Complete]],IF(NOT(tblGroupMatch[[#This Row],[Is_Win]]),1,IF(tblGroupMatch[[#This Row],[Team A Goals]]&gt;tblGroupMatch[[#This Row],[Team B Goals]],3,0)),"")</f>
        <v/>
      </c>
      <c r="P9" s="53" t="str">
        <f>IF(tblGroupMatch[[#This Row],[Is_Complete]],IF(NOT(tblGroupMatch[[#This Row],[Is_Win]]),1,IF(tblGroupMatch[[#This Row],[Home_Points]]=0,3,0)),"")</f>
        <v/>
      </c>
      <c r="Q9" s="99">
        <f>tblGroupMatch[[#This Row],[Euro_Match_Number]]</f>
        <v>7</v>
      </c>
      <c r="R9" s="99" t="str">
        <f>tblGroupMatch[[#This Row],[Group_Code]]</f>
        <v>D</v>
      </c>
      <c r="S9" s="100">
        <f>SUM(tblGroupMatch[[#This Row],[Match_Date]],tblGroupMatch[[#This Row],[Match_Time_UK]])</f>
        <v>44360.583333333336</v>
      </c>
      <c r="T9" s="99" t="str">
        <f>INDEX(lkupVenue[],MATCH(tblGroupMatch[[#This Row],[Venue_Number]],lkupVenue[Venue_Number],0),MATCH("Venue_Short",lkupVenue[#Headers],0))</f>
        <v>Wembley Stadium (ENG)</v>
      </c>
      <c r="U9" s="99" t="str">
        <f>INDEX(lkupTeam[],MATCH(tblGroupMatch[[#This Row],[Home_Team_Number]],lkupTeam[Team_Number],0),MATCH("Team",lkupTeam[#Headers],0))</f>
        <v>England</v>
      </c>
      <c r="V9" s="101"/>
      <c r="W9" s="101"/>
      <c r="X9" s="101"/>
      <c r="Y9" s="102"/>
      <c r="Z9" s="99" t="str">
        <f>INDEX(lkupTeam[],MATCH(tblGroupMatch[[#This Row],[Away_Team_Number]],lkupTeam[Team_Number],0),MATCH("Team",lkupTeam[#Headers],0))</f>
        <v>Croatia</v>
      </c>
      <c r="AA9" s="101"/>
      <c r="AB9" s="101"/>
      <c r="AC9" s="101"/>
      <c r="AD9" s="102"/>
    </row>
    <row r="10" spans="2:30" x14ac:dyDescent="0.25">
      <c r="B10" s="54">
        <v>6</v>
      </c>
      <c r="C10" s="53" t="str">
        <f>INDEX(lkupGroupGame[],MATCH(tblGroupMatch[[#This Row],[Euro_Match_Number]],lkupGroupGame[Euro_Match_Number],0),MATCH(tblGroupMatch[[#Headers],[Group_Code]],lkupGroupGame[#Headers],0))</f>
        <v>C</v>
      </c>
      <c r="D10" s="53">
        <f>INDEX(lkupGroupGame[],MATCH(tblGroupMatch[[#This Row],[Euro_Match_Number]],lkupGroupGame[Euro_Match_Number],0),MATCH(tblGroupMatch[[#Headers],[Home_Group_Number]],lkupGroupGame[#Headers],0))</f>
        <v>1</v>
      </c>
      <c r="E10" s="53">
        <f>INDEX(lkupGroupGame[],MATCH(tblGroupMatch[[#This Row],[Euro_Match_Number]],lkupGroupGame[Euro_Match_Number],0),MATCH(tblGroupMatch[[#Headers],[Away_Group_Number]],lkupGroupGame[#Headers],0))</f>
        <v>2</v>
      </c>
      <c r="F10" s="53">
        <f>INDEX(lkupTeam[],MATCH(tblGroupMatch[[#This Row],[Group_Code]]&amp;tblGroupMatch[[#This Row],[Home_Group_Number]],lkupTeam[Team_Code],0),MATCH("Team_Number",lkupTeam[#Headers],0))</f>
        <v>9</v>
      </c>
      <c r="G10" s="53">
        <f>INDEX(lkupTeam[],MATCH(tblGroupMatch[[#This Row],[Group_Code]]&amp;tblGroupMatch[[#This Row],[Away_Group_Number]],lkupTeam[Team_Code],0),MATCH("Team_Number",lkupTeam[#Headers],0))</f>
        <v>10</v>
      </c>
      <c r="H10" s="53" t="str">
        <f>tblGroupMatch[[#This Row],[Group_Code]]&amp;MIN(tblGroupMatch[[#This Row],[Home_Group_Number]:[Away_Group_Number]])&amp;MAX(tblGroupMatch[[#This Row],[Home_Group_Number]:[Away_Group_Number]])</f>
        <v>C12</v>
      </c>
      <c r="I10" s="53">
        <f>INDEX(lkupGroupGame[],MATCH(tblGroupMatch[[#This Row],[Euro_Match_Number]],lkupGroupGame[Euro_Match_Number],0),MATCH(tblGroupMatch[[#Headers],[Match_Date]],lkupGroupGame[#Headers],0))</f>
        <v>44360</v>
      </c>
      <c r="J10" s="53">
        <f>INDEX(lkupGroupGame[],MATCH(tblGroupMatch[[#This Row],[Euro_Match_Number]],lkupGroupGame[Euro_Match_Number],0),MATCH(tblGroupMatch[[#Headers],[Match_Time_UK]],lkupGroupGame[#Headers],0))</f>
        <v>0.70833333333333337</v>
      </c>
      <c r="K10" s="53">
        <f>INDEX(lkupGroupGame[],MATCH(tblGroupMatch[[#This Row],[Euro_Match_Number]],lkupGroupGame[Euro_Match_Number],0),MATCH(tblGroupMatch[[#Headers],[Venue_Number]],lkupGroupGame[#Headers],0))</f>
        <v>8</v>
      </c>
      <c r="L10" s="53" t="str">
        <f>INDEX(lkupGroupGame[],MATCH(tblGroupMatch[[#This Row],[Euro_Match_Number]],lkupGroupGame[Euro_Match_Number],0),MATCH(tblGroupMatch[[#Headers],[TV_Station]],lkupGroupGame[#Headers],0))</f>
        <v>iTV</v>
      </c>
      <c r="M10" s="53" t="b">
        <f>AND(LEN(tblGroupMatch[[#This Row],[Team A Goals]])&gt;0,LEN(tblGroupMatch[[#This Row],[Team B Goals]])&gt;0,LEN(tblGroupMatch[[#This Row],[Team A YCs]])&gt;0,LEN(tblGroupMatch[[#This Row],[Team A RCs]])&gt;0,LEN(tblGroupMatch[[#This Row],[Team B Ycs]])&gt;0,LEN(tblGroupMatch[[#This Row],[Team B RCs]])&gt;0)</f>
        <v>0</v>
      </c>
      <c r="N10" s="53" t="b">
        <f>AND(tblGroupMatch[[#This Row],[Is_Complete]],OR(tblGroupMatch[[#This Row],[Team A Goals]]&gt;tblGroupMatch[[#This Row],[Team B Goals]],tblGroupMatch[[#This Row],[Team B Goals]]&gt;tblGroupMatch[[#This Row],[Team A Goals]]))</f>
        <v>0</v>
      </c>
      <c r="O10" s="53" t="str">
        <f>IF(tblGroupMatch[[#This Row],[Is_Complete]],IF(NOT(tblGroupMatch[[#This Row],[Is_Win]]),1,IF(tblGroupMatch[[#This Row],[Team A Goals]]&gt;tblGroupMatch[[#This Row],[Team B Goals]],3,0)),"")</f>
        <v/>
      </c>
      <c r="P10" s="53" t="str">
        <f>IF(tblGroupMatch[[#This Row],[Is_Complete]],IF(NOT(tblGroupMatch[[#This Row],[Is_Win]]),1,IF(tblGroupMatch[[#This Row],[Home_Points]]=0,3,0)),"")</f>
        <v/>
      </c>
      <c r="Q10" s="99">
        <f>tblGroupMatch[[#This Row],[Euro_Match_Number]]</f>
        <v>6</v>
      </c>
      <c r="R10" s="99" t="str">
        <f>tblGroupMatch[[#This Row],[Group_Code]]</f>
        <v>C</v>
      </c>
      <c r="S10" s="100">
        <f>SUM(tblGroupMatch[[#This Row],[Match_Date]],tblGroupMatch[[#This Row],[Match_Time_UK]])</f>
        <v>44360.708333333336</v>
      </c>
      <c r="T10" s="99" t="str">
        <f>INDEX(lkupVenue[],MATCH(tblGroupMatch[[#This Row],[Venue_Number]],lkupVenue[Venue_Number],0),MATCH("Venue_Short",lkupVenue[#Headers],0))</f>
        <v>Arean Nationala (ROM)</v>
      </c>
      <c r="U10" s="99" t="str">
        <f>INDEX(lkupTeam[],MATCH(tblGroupMatch[[#This Row],[Home_Team_Number]],lkupTeam[Team_Number],0),MATCH("Team",lkupTeam[#Headers],0))</f>
        <v>Austria</v>
      </c>
      <c r="V10" s="101"/>
      <c r="W10" s="101"/>
      <c r="X10" s="101"/>
      <c r="Y10" s="102"/>
      <c r="Z10" s="99" t="str">
        <f>INDEX(lkupTeam[],MATCH(tblGroupMatch[[#This Row],[Away_Team_Number]],lkupTeam[Team_Number],0),MATCH("Team",lkupTeam[#Headers],0))</f>
        <v>North Macedonia</v>
      </c>
      <c r="AA10" s="101"/>
      <c r="AB10" s="101"/>
      <c r="AC10" s="101"/>
      <c r="AD10" s="102"/>
    </row>
    <row r="11" spans="2:30" x14ac:dyDescent="0.25">
      <c r="B11" s="54">
        <v>5</v>
      </c>
      <c r="C11" s="53" t="str">
        <f>INDEX(lkupGroupGame[],MATCH(tblGroupMatch[[#This Row],[Euro_Match_Number]],lkupGroupGame[Euro_Match_Number],0),MATCH(tblGroupMatch[[#Headers],[Group_Code]],lkupGroupGame[#Headers],0))</f>
        <v>C</v>
      </c>
      <c r="D11" s="53">
        <f>INDEX(lkupGroupGame[],MATCH(tblGroupMatch[[#This Row],[Euro_Match_Number]],lkupGroupGame[Euro_Match_Number],0),MATCH(tblGroupMatch[[#Headers],[Home_Group_Number]],lkupGroupGame[#Headers],0))</f>
        <v>3</v>
      </c>
      <c r="E11" s="53">
        <f>INDEX(lkupGroupGame[],MATCH(tblGroupMatch[[#This Row],[Euro_Match_Number]],lkupGroupGame[Euro_Match_Number],0),MATCH(tblGroupMatch[[#Headers],[Away_Group_Number]],lkupGroupGame[#Headers],0))</f>
        <v>4</v>
      </c>
      <c r="F11" s="53">
        <f>INDEX(lkupTeam[],MATCH(tblGroupMatch[[#This Row],[Group_Code]]&amp;tblGroupMatch[[#This Row],[Home_Group_Number]],lkupTeam[Team_Code],0),MATCH("Team_Number",lkupTeam[#Headers],0))</f>
        <v>11</v>
      </c>
      <c r="G11" s="53">
        <f>INDEX(lkupTeam[],MATCH(tblGroupMatch[[#This Row],[Group_Code]]&amp;tblGroupMatch[[#This Row],[Away_Group_Number]],lkupTeam[Team_Code],0),MATCH("Team_Number",lkupTeam[#Headers],0))</f>
        <v>12</v>
      </c>
      <c r="H11" s="53" t="str">
        <f>tblGroupMatch[[#This Row],[Group_Code]]&amp;MIN(tblGroupMatch[[#This Row],[Home_Group_Number]:[Away_Group_Number]])&amp;MAX(tblGroupMatch[[#This Row],[Home_Group_Number]:[Away_Group_Number]])</f>
        <v>C34</v>
      </c>
      <c r="I11" s="53">
        <f>INDEX(lkupGroupGame[],MATCH(tblGroupMatch[[#This Row],[Euro_Match_Number]],lkupGroupGame[Euro_Match_Number],0),MATCH(tblGroupMatch[[#Headers],[Match_Date]],lkupGroupGame[#Headers],0))</f>
        <v>44360</v>
      </c>
      <c r="J11" s="53">
        <f>INDEX(lkupGroupGame[],MATCH(tblGroupMatch[[#This Row],[Euro_Match_Number]],lkupGroupGame[Euro_Match_Number],0),MATCH(tblGroupMatch[[#Headers],[Match_Time_UK]],lkupGroupGame[#Headers],0))</f>
        <v>0.83333333333333337</v>
      </c>
      <c r="K11" s="53">
        <f>INDEX(lkupGroupGame[],MATCH(tblGroupMatch[[#This Row],[Euro_Match_Number]],lkupGroupGame[Euro_Match_Number],0),MATCH(tblGroupMatch[[#Headers],[Venue_Number]],lkupGroupGame[#Headers],0))</f>
        <v>9</v>
      </c>
      <c r="L11" s="53" t="str">
        <f>INDEX(lkupGroupGame[],MATCH(tblGroupMatch[[#This Row],[Euro_Match_Number]],lkupGroupGame[Euro_Match_Number],0),MATCH(tblGroupMatch[[#Headers],[TV_Station]],lkupGroupGame[#Headers],0))</f>
        <v>iTV</v>
      </c>
      <c r="M11" s="53" t="b">
        <f>AND(LEN(tblGroupMatch[[#This Row],[Team A Goals]])&gt;0,LEN(tblGroupMatch[[#This Row],[Team B Goals]])&gt;0,LEN(tblGroupMatch[[#This Row],[Team A YCs]])&gt;0,LEN(tblGroupMatch[[#This Row],[Team A RCs]])&gt;0,LEN(tblGroupMatch[[#This Row],[Team B Ycs]])&gt;0,LEN(tblGroupMatch[[#This Row],[Team B RCs]])&gt;0)</f>
        <v>0</v>
      </c>
      <c r="N11" s="53" t="b">
        <f>AND(tblGroupMatch[[#This Row],[Is_Complete]],OR(tblGroupMatch[[#This Row],[Team A Goals]]&gt;tblGroupMatch[[#This Row],[Team B Goals]],tblGroupMatch[[#This Row],[Team B Goals]]&gt;tblGroupMatch[[#This Row],[Team A Goals]]))</f>
        <v>0</v>
      </c>
      <c r="O11" s="53" t="str">
        <f>IF(tblGroupMatch[[#This Row],[Is_Complete]],IF(NOT(tblGroupMatch[[#This Row],[Is_Win]]),1,IF(tblGroupMatch[[#This Row],[Team A Goals]]&gt;tblGroupMatch[[#This Row],[Team B Goals]],3,0)),"")</f>
        <v/>
      </c>
      <c r="P11" s="53" t="str">
        <f>IF(tblGroupMatch[[#This Row],[Is_Complete]],IF(NOT(tblGroupMatch[[#This Row],[Is_Win]]),1,IF(tblGroupMatch[[#This Row],[Home_Points]]=0,3,0)),"")</f>
        <v/>
      </c>
      <c r="Q11" s="99">
        <f>tblGroupMatch[[#This Row],[Euro_Match_Number]]</f>
        <v>5</v>
      </c>
      <c r="R11" s="99" t="str">
        <f>tblGroupMatch[[#This Row],[Group_Code]]</f>
        <v>C</v>
      </c>
      <c r="S11" s="100">
        <f>SUM(tblGroupMatch[[#This Row],[Match_Date]],tblGroupMatch[[#This Row],[Match_Time_UK]])</f>
        <v>44360.833333333336</v>
      </c>
      <c r="T11" s="99" t="str">
        <f>INDEX(lkupVenue[],MATCH(tblGroupMatch[[#This Row],[Venue_Number]],lkupVenue[Venue_Number],0),MATCH("Venue_Short",lkupVenue[#Headers],0))</f>
        <v>Johan Cruyff Arena (NET)</v>
      </c>
      <c r="U11" s="99" t="str">
        <f>INDEX(lkupTeam[],MATCH(tblGroupMatch[[#This Row],[Home_Team_Number]],lkupTeam[Team_Number],0),MATCH("Team",lkupTeam[#Headers],0))</f>
        <v>Netherlands</v>
      </c>
      <c r="V11" s="101"/>
      <c r="W11" s="101"/>
      <c r="X11" s="101"/>
      <c r="Y11" s="102"/>
      <c r="Z11" s="99" t="str">
        <f>INDEX(lkupTeam[],MATCH(tblGroupMatch[[#This Row],[Away_Team_Number]],lkupTeam[Team_Number],0),MATCH("Team",lkupTeam[#Headers],0))</f>
        <v>Ukraine</v>
      </c>
      <c r="AA11" s="101"/>
      <c r="AB11" s="101"/>
      <c r="AC11" s="101"/>
      <c r="AD11" s="102"/>
    </row>
    <row r="12" spans="2:30" x14ac:dyDescent="0.25">
      <c r="B12" s="54">
        <v>8</v>
      </c>
      <c r="C12" s="53" t="str">
        <f>INDEX(lkupGroupGame[],MATCH(tblGroupMatch[[#This Row],[Euro_Match_Number]],lkupGroupGame[Euro_Match_Number],0),MATCH(tblGroupMatch[[#Headers],[Group_Code]],lkupGroupGame[#Headers],0))</f>
        <v>D</v>
      </c>
      <c r="D12" s="53">
        <f>INDEX(lkupGroupGame[],MATCH(tblGroupMatch[[#This Row],[Euro_Match_Number]],lkupGroupGame[Euro_Match_Number],0),MATCH(tblGroupMatch[[#Headers],[Home_Group_Number]],lkupGroupGame[#Headers],0))</f>
        <v>3</v>
      </c>
      <c r="E12" s="53">
        <f>INDEX(lkupGroupGame[],MATCH(tblGroupMatch[[#This Row],[Euro_Match_Number]],lkupGroupGame[Euro_Match_Number],0),MATCH(tblGroupMatch[[#Headers],[Away_Group_Number]],lkupGroupGame[#Headers],0))</f>
        <v>4</v>
      </c>
      <c r="F12" s="53">
        <f>INDEX(lkupTeam[],MATCH(tblGroupMatch[[#This Row],[Group_Code]]&amp;tblGroupMatch[[#This Row],[Home_Group_Number]],lkupTeam[Team_Code],0),MATCH("Team_Number",lkupTeam[#Headers],0))</f>
        <v>15</v>
      </c>
      <c r="G12" s="53">
        <f>INDEX(lkupTeam[],MATCH(tblGroupMatch[[#This Row],[Group_Code]]&amp;tblGroupMatch[[#This Row],[Away_Group_Number]],lkupTeam[Team_Code],0),MATCH("Team_Number",lkupTeam[#Headers],0))</f>
        <v>16</v>
      </c>
      <c r="H12" s="53" t="str">
        <f>tblGroupMatch[[#This Row],[Group_Code]]&amp;MIN(tblGroupMatch[[#This Row],[Home_Group_Number]:[Away_Group_Number]])&amp;MAX(tblGroupMatch[[#This Row],[Home_Group_Number]:[Away_Group_Number]])</f>
        <v>D34</v>
      </c>
      <c r="I12" s="53">
        <f>INDEX(lkupGroupGame[],MATCH(tblGroupMatch[[#This Row],[Euro_Match_Number]],lkupGroupGame[Euro_Match_Number],0),MATCH(tblGroupMatch[[#Headers],[Match_Date]],lkupGroupGame[#Headers],0))</f>
        <v>44361</v>
      </c>
      <c r="J12" s="53">
        <f>INDEX(lkupGroupGame[],MATCH(tblGroupMatch[[#This Row],[Euro_Match_Number]],lkupGroupGame[Euro_Match_Number],0),MATCH(tblGroupMatch[[#Headers],[Match_Time_UK]],lkupGroupGame[#Headers],0))</f>
        <v>0.58333333333333337</v>
      </c>
      <c r="K12" s="53">
        <f>INDEX(lkupGroupGame[],MATCH(tblGroupMatch[[#This Row],[Euro_Match_Number]],lkupGroupGame[Euro_Match_Number],0),MATCH(tblGroupMatch[[#Headers],[Venue_Number]],lkupGroupGame[#Headers],0))</f>
        <v>10</v>
      </c>
      <c r="L12" s="53" t="str">
        <f>INDEX(lkupGroupGame[],MATCH(tblGroupMatch[[#This Row],[Euro_Match_Number]],lkupGroupGame[Euro_Match_Number],0),MATCH(tblGroupMatch[[#Headers],[TV_Station]],lkupGroupGame[#Headers],0))</f>
        <v>BBC</v>
      </c>
      <c r="M12" s="53" t="b">
        <f>AND(LEN(tblGroupMatch[[#This Row],[Team A Goals]])&gt;0,LEN(tblGroupMatch[[#This Row],[Team B Goals]])&gt;0,LEN(tblGroupMatch[[#This Row],[Team A YCs]])&gt;0,LEN(tblGroupMatch[[#This Row],[Team A RCs]])&gt;0,LEN(tblGroupMatch[[#This Row],[Team B Ycs]])&gt;0,LEN(tblGroupMatch[[#This Row],[Team B RCs]])&gt;0)</f>
        <v>0</v>
      </c>
      <c r="N12" s="53" t="b">
        <f>AND(tblGroupMatch[[#This Row],[Is_Complete]],OR(tblGroupMatch[[#This Row],[Team A Goals]]&gt;tblGroupMatch[[#This Row],[Team B Goals]],tblGroupMatch[[#This Row],[Team B Goals]]&gt;tblGroupMatch[[#This Row],[Team A Goals]]))</f>
        <v>0</v>
      </c>
      <c r="O12" s="53" t="str">
        <f>IF(tblGroupMatch[[#This Row],[Is_Complete]],IF(NOT(tblGroupMatch[[#This Row],[Is_Win]]),1,IF(tblGroupMatch[[#This Row],[Team A Goals]]&gt;tblGroupMatch[[#This Row],[Team B Goals]],3,0)),"")</f>
        <v/>
      </c>
      <c r="P12" s="53" t="str">
        <f>IF(tblGroupMatch[[#This Row],[Is_Complete]],IF(NOT(tblGroupMatch[[#This Row],[Is_Win]]),1,IF(tblGroupMatch[[#This Row],[Home_Points]]=0,3,0)),"")</f>
        <v/>
      </c>
      <c r="Q12" s="99">
        <f>tblGroupMatch[[#This Row],[Euro_Match_Number]]</f>
        <v>8</v>
      </c>
      <c r="R12" s="99" t="str">
        <f>tblGroupMatch[[#This Row],[Group_Code]]</f>
        <v>D</v>
      </c>
      <c r="S12" s="100">
        <f>SUM(tblGroupMatch[[#This Row],[Match_Date]],tblGroupMatch[[#This Row],[Match_Time_UK]])</f>
        <v>44361.583333333336</v>
      </c>
      <c r="T12" s="99" t="str">
        <f>INDEX(lkupVenue[],MATCH(tblGroupMatch[[#This Row],[Venue_Number]],lkupVenue[Venue_Number],0),MATCH("Venue_Short",lkupVenue[#Headers],0))</f>
        <v>Hampden Park (SCO)</v>
      </c>
      <c r="U12" s="99" t="str">
        <f>INDEX(lkupTeam[],MATCH(tblGroupMatch[[#This Row],[Home_Team_Number]],lkupTeam[Team_Number],0),MATCH("Team",lkupTeam[#Headers],0))</f>
        <v>Scotland</v>
      </c>
      <c r="V12" s="101"/>
      <c r="W12" s="101"/>
      <c r="X12" s="101"/>
      <c r="Y12" s="102"/>
      <c r="Z12" s="99" t="str">
        <f>INDEX(lkupTeam[],MATCH(tblGroupMatch[[#This Row],[Away_Team_Number]],lkupTeam[Team_Number],0),MATCH("Team",lkupTeam[#Headers],0))</f>
        <v>Czech Republic</v>
      </c>
      <c r="AA12" s="101"/>
      <c r="AB12" s="101"/>
      <c r="AC12" s="101"/>
      <c r="AD12" s="102"/>
    </row>
    <row r="13" spans="2:30" x14ac:dyDescent="0.25">
      <c r="B13" s="54">
        <v>10</v>
      </c>
      <c r="C13" s="53" t="str">
        <f>INDEX(lkupGroupGame[],MATCH(tblGroupMatch[[#This Row],[Euro_Match_Number]],lkupGroupGame[Euro_Match_Number],0),MATCH(tblGroupMatch[[#Headers],[Group_Code]],lkupGroupGame[#Headers],0))</f>
        <v>E</v>
      </c>
      <c r="D13" s="53">
        <f>INDEX(lkupGroupGame[],MATCH(tblGroupMatch[[#This Row],[Euro_Match_Number]],lkupGroupGame[Euro_Match_Number],0),MATCH(tblGroupMatch[[#Headers],[Home_Group_Number]],lkupGroupGame[#Headers],0))</f>
        <v>1</v>
      </c>
      <c r="E13" s="53">
        <f>INDEX(lkupGroupGame[],MATCH(tblGroupMatch[[#This Row],[Euro_Match_Number]],lkupGroupGame[Euro_Match_Number],0),MATCH(tblGroupMatch[[#Headers],[Away_Group_Number]],lkupGroupGame[#Headers],0))</f>
        <v>2</v>
      </c>
      <c r="F13" s="53">
        <f>INDEX(lkupTeam[],MATCH(tblGroupMatch[[#This Row],[Group_Code]]&amp;tblGroupMatch[[#This Row],[Home_Group_Number]],lkupTeam[Team_Code],0),MATCH("Team_Number",lkupTeam[#Headers],0))</f>
        <v>17</v>
      </c>
      <c r="G13" s="53">
        <f>INDEX(lkupTeam[],MATCH(tblGroupMatch[[#This Row],[Group_Code]]&amp;tblGroupMatch[[#This Row],[Away_Group_Number]],lkupTeam[Team_Code],0),MATCH("Team_Number",lkupTeam[#Headers],0))</f>
        <v>18</v>
      </c>
      <c r="H13" s="53" t="str">
        <f>tblGroupMatch[[#This Row],[Group_Code]]&amp;MIN(tblGroupMatch[[#This Row],[Home_Group_Number]:[Away_Group_Number]])&amp;MAX(tblGroupMatch[[#This Row],[Home_Group_Number]:[Away_Group_Number]])</f>
        <v>E12</v>
      </c>
      <c r="I13" s="53">
        <f>INDEX(lkupGroupGame[],MATCH(tblGroupMatch[[#This Row],[Euro_Match_Number]],lkupGroupGame[Euro_Match_Number],0),MATCH(tblGroupMatch[[#Headers],[Match_Date]],lkupGroupGame[#Headers],0))</f>
        <v>44361</v>
      </c>
      <c r="J13" s="53">
        <f>INDEX(lkupGroupGame[],MATCH(tblGroupMatch[[#This Row],[Euro_Match_Number]],lkupGroupGame[Euro_Match_Number],0),MATCH(tblGroupMatch[[#Headers],[Match_Time_UK]],lkupGroupGame[#Headers],0))</f>
        <v>0.70833333333333337</v>
      </c>
      <c r="K13" s="53">
        <f>INDEX(lkupGroupGame[],MATCH(tblGroupMatch[[#This Row],[Euro_Match_Number]],lkupGroupGame[Euro_Match_Number],0),MATCH(tblGroupMatch[[#Headers],[Venue_Number]],lkupGroupGame[#Headers],0))</f>
        <v>5</v>
      </c>
      <c r="L13" s="53" t="str">
        <f>INDEX(lkupGroupGame[],MATCH(tblGroupMatch[[#This Row],[Euro_Match_Number]],lkupGroupGame[Euro_Match_Number],0),MATCH(tblGroupMatch[[#Headers],[TV_Station]],lkupGroupGame[#Headers],0))</f>
        <v>iTV</v>
      </c>
      <c r="M13" s="53" t="b">
        <f>AND(LEN(tblGroupMatch[[#This Row],[Team A Goals]])&gt;0,LEN(tblGroupMatch[[#This Row],[Team B Goals]])&gt;0,LEN(tblGroupMatch[[#This Row],[Team A YCs]])&gt;0,LEN(tblGroupMatch[[#This Row],[Team A RCs]])&gt;0,LEN(tblGroupMatch[[#This Row],[Team B Ycs]])&gt;0,LEN(tblGroupMatch[[#This Row],[Team B RCs]])&gt;0)</f>
        <v>0</v>
      </c>
      <c r="N13" s="53" t="b">
        <f>AND(tblGroupMatch[[#This Row],[Is_Complete]],OR(tblGroupMatch[[#This Row],[Team A Goals]]&gt;tblGroupMatch[[#This Row],[Team B Goals]],tblGroupMatch[[#This Row],[Team B Goals]]&gt;tblGroupMatch[[#This Row],[Team A Goals]]))</f>
        <v>0</v>
      </c>
      <c r="O13" s="53" t="str">
        <f>IF(tblGroupMatch[[#This Row],[Is_Complete]],IF(NOT(tblGroupMatch[[#This Row],[Is_Win]]),1,IF(tblGroupMatch[[#This Row],[Team A Goals]]&gt;tblGroupMatch[[#This Row],[Team B Goals]],3,0)),"")</f>
        <v/>
      </c>
      <c r="P13" s="53" t="str">
        <f>IF(tblGroupMatch[[#This Row],[Is_Complete]],IF(NOT(tblGroupMatch[[#This Row],[Is_Win]]),1,IF(tblGroupMatch[[#This Row],[Home_Points]]=0,3,0)),"")</f>
        <v/>
      </c>
      <c r="Q13" s="99">
        <f>tblGroupMatch[[#This Row],[Euro_Match_Number]]</f>
        <v>10</v>
      </c>
      <c r="R13" s="99" t="str">
        <f>tblGroupMatch[[#This Row],[Group_Code]]</f>
        <v>E</v>
      </c>
      <c r="S13" s="100">
        <f>SUM(tblGroupMatch[[#This Row],[Match_Date]],tblGroupMatch[[#This Row],[Match_Time_UK]])</f>
        <v>44361.708333333336</v>
      </c>
      <c r="T13" s="99" t="str">
        <f>INDEX(lkupVenue[],MATCH(tblGroupMatch[[#This Row],[Venue_Number]],lkupVenue[Venue_Number],0),MATCH("Venue_Short",lkupVenue[#Headers],0))</f>
        <v>Krestovsky Stadium (RUS)</v>
      </c>
      <c r="U13" s="99" t="str">
        <f>INDEX(lkupTeam[],MATCH(tblGroupMatch[[#This Row],[Home_Team_Number]],lkupTeam[Team_Number],0),MATCH("Team",lkupTeam[#Headers],0))</f>
        <v>Poland</v>
      </c>
      <c r="V13" s="101"/>
      <c r="W13" s="101"/>
      <c r="X13" s="101"/>
      <c r="Y13" s="102"/>
      <c r="Z13" s="99" t="str">
        <f>INDEX(lkupTeam[],MATCH(tblGroupMatch[[#This Row],[Away_Team_Number]],lkupTeam[Team_Number],0),MATCH("Team",lkupTeam[#Headers],0))</f>
        <v>Slovakia</v>
      </c>
      <c r="AA13" s="101"/>
      <c r="AB13" s="101"/>
      <c r="AC13" s="101"/>
      <c r="AD13" s="102"/>
    </row>
    <row r="14" spans="2:30" x14ac:dyDescent="0.25">
      <c r="B14" s="54">
        <v>9</v>
      </c>
      <c r="C14" s="53" t="str">
        <f>INDEX(lkupGroupGame[],MATCH(tblGroupMatch[[#This Row],[Euro_Match_Number]],lkupGroupGame[Euro_Match_Number],0),MATCH(tblGroupMatch[[#Headers],[Group_Code]],lkupGroupGame[#Headers],0))</f>
        <v>E</v>
      </c>
      <c r="D14" s="53">
        <f>INDEX(lkupGroupGame[],MATCH(tblGroupMatch[[#This Row],[Euro_Match_Number]],lkupGroupGame[Euro_Match_Number],0),MATCH(tblGroupMatch[[#Headers],[Home_Group_Number]],lkupGroupGame[#Headers],0))</f>
        <v>3</v>
      </c>
      <c r="E14" s="53">
        <f>INDEX(lkupGroupGame[],MATCH(tblGroupMatch[[#This Row],[Euro_Match_Number]],lkupGroupGame[Euro_Match_Number],0),MATCH(tblGroupMatch[[#Headers],[Away_Group_Number]],lkupGroupGame[#Headers],0))</f>
        <v>4</v>
      </c>
      <c r="F14" s="53">
        <f>INDEX(lkupTeam[],MATCH(tblGroupMatch[[#This Row],[Group_Code]]&amp;tblGroupMatch[[#This Row],[Home_Group_Number]],lkupTeam[Team_Code],0),MATCH("Team_Number",lkupTeam[#Headers],0))</f>
        <v>19</v>
      </c>
      <c r="G14" s="53">
        <f>INDEX(lkupTeam[],MATCH(tblGroupMatch[[#This Row],[Group_Code]]&amp;tblGroupMatch[[#This Row],[Away_Group_Number]],lkupTeam[Team_Code],0),MATCH("Team_Number",lkupTeam[#Headers],0))</f>
        <v>20</v>
      </c>
      <c r="H14" s="53" t="str">
        <f>tblGroupMatch[[#This Row],[Group_Code]]&amp;MIN(tblGroupMatch[[#This Row],[Home_Group_Number]:[Away_Group_Number]])&amp;MAX(tblGroupMatch[[#This Row],[Home_Group_Number]:[Away_Group_Number]])</f>
        <v>E34</v>
      </c>
      <c r="I14" s="53">
        <f>INDEX(lkupGroupGame[],MATCH(tblGroupMatch[[#This Row],[Euro_Match_Number]],lkupGroupGame[Euro_Match_Number],0),MATCH(tblGroupMatch[[#Headers],[Match_Date]],lkupGroupGame[#Headers],0))</f>
        <v>44361</v>
      </c>
      <c r="J14" s="53">
        <f>INDEX(lkupGroupGame[],MATCH(tblGroupMatch[[#This Row],[Euro_Match_Number]],lkupGroupGame[Euro_Match_Number],0),MATCH(tblGroupMatch[[#Headers],[Match_Time_UK]],lkupGroupGame[#Headers],0))</f>
        <v>0.83333333333333337</v>
      </c>
      <c r="K14" s="53">
        <f>INDEX(lkupGroupGame[],MATCH(tblGroupMatch[[#This Row],[Euro_Match_Number]],lkupGroupGame[Euro_Match_Number],0),MATCH(tblGroupMatch[[#Headers],[Venue_Number]],lkupGroupGame[#Headers],0))</f>
        <v>7</v>
      </c>
      <c r="L14" s="53" t="str">
        <f>INDEX(lkupGroupGame[],MATCH(tblGroupMatch[[#This Row],[Euro_Match_Number]],lkupGroupGame[Euro_Match_Number],0),MATCH(tblGroupMatch[[#Headers],[TV_Station]],lkupGroupGame[#Headers],0))</f>
        <v>BBC</v>
      </c>
      <c r="M14" s="53" t="b">
        <f>AND(LEN(tblGroupMatch[[#This Row],[Team A Goals]])&gt;0,LEN(tblGroupMatch[[#This Row],[Team B Goals]])&gt;0,LEN(tblGroupMatch[[#This Row],[Team A YCs]])&gt;0,LEN(tblGroupMatch[[#This Row],[Team A RCs]])&gt;0,LEN(tblGroupMatch[[#This Row],[Team B Ycs]])&gt;0,LEN(tblGroupMatch[[#This Row],[Team B RCs]])&gt;0)</f>
        <v>0</v>
      </c>
      <c r="N14" s="53" t="b">
        <f>AND(tblGroupMatch[[#This Row],[Is_Complete]],OR(tblGroupMatch[[#This Row],[Team A Goals]]&gt;tblGroupMatch[[#This Row],[Team B Goals]],tblGroupMatch[[#This Row],[Team B Goals]]&gt;tblGroupMatch[[#This Row],[Team A Goals]]))</f>
        <v>0</v>
      </c>
      <c r="O14" s="53" t="str">
        <f>IF(tblGroupMatch[[#This Row],[Is_Complete]],IF(NOT(tblGroupMatch[[#This Row],[Is_Win]]),1,IF(tblGroupMatch[[#This Row],[Team A Goals]]&gt;tblGroupMatch[[#This Row],[Team B Goals]],3,0)),"")</f>
        <v/>
      </c>
      <c r="P14" s="53" t="str">
        <f>IF(tblGroupMatch[[#This Row],[Is_Complete]],IF(NOT(tblGroupMatch[[#This Row],[Is_Win]]),1,IF(tblGroupMatch[[#This Row],[Home_Points]]=0,3,0)),"")</f>
        <v/>
      </c>
      <c r="Q14" s="99">
        <f>tblGroupMatch[[#This Row],[Euro_Match_Number]]</f>
        <v>9</v>
      </c>
      <c r="R14" s="99" t="str">
        <f>tblGroupMatch[[#This Row],[Group_Code]]</f>
        <v>E</v>
      </c>
      <c r="S14" s="100">
        <f>SUM(tblGroupMatch[[#This Row],[Match_Date]],tblGroupMatch[[#This Row],[Match_Time_UK]])</f>
        <v>44361.833333333336</v>
      </c>
      <c r="T14" s="99" t="str">
        <f>INDEX(lkupVenue[],MATCH(tblGroupMatch[[#This Row],[Venue_Number]],lkupVenue[Venue_Number],0),MATCH("Venue_Short",lkupVenue[#Headers],0))</f>
        <v>La Cartuja (SPA)</v>
      </c>
      <c r="U14" s="99" t="str">
        <f>INDEX(lkupTeam[],MATCH(tblGroupMatch[[#This Row],[Home_Team_Number]],lkupTeam[Team_Number],0),MATCH("Team",lkupTeam[#Headers],0))</f>
        <v>Spain</v>
      </c>
      <c r="V14" s="101"/>
      <c r="W14" s="101"/>
      <c r="X14" s="101"/>
      <c r="Y14" s="102"/>
      <c r="Z14" s="99" t="str">
        <f>INDEX(lkupTeam[],MATCH(tblGroupMatch[[#This Row],[Away_Team_Number]],lkupTeam[Team_Number],0),MATCH("Team",lkupTeam[#Headers],0))</f>
        <v>Sweden</v>
      </c>
      <c r="AA14" s="101"/>
      <c r="AB14" s="101"/>
      <c r="AC14" s="101"/>
      <c r="AD14" s="102"/>
    </row>
    <row r="15" spans="2:30" x14ac:dyDescent="0.25">
      <c r="B15" s="54">
        <v>11</v>
      </c>
      <c r="C15" s="53" t="str">
        <f>INDEX(lkupGroupGame[],MATCH(tblGroupMatch[[#This Row],[Euro_Match_Number]],lkupGroupGame[Euro_Match_Number],0),MATCH(tblGroupMatch[[#Headers],[Group_Code]],lkupGroupGame[#Headers],0))</f>
        <v>F</v>
      </c>
      <c r="D15" s="53">
        <f>INDEX(lkupGroupGame[],MATCH(tblGroupMatch[[#This Row],[Euro_Match_Number]],lkupGroupGame[Euro_Match_Number],0),MATCH(tblGroupMatch[[#Headers],[Home_Group_Number]],lkupGroupGame[#Headers],0))</f>
        <v>1</v>
      </c>
      <c r="E15" s="53">
        <f>INDEX(lkupGroupGame[],MATCH(tblGroupMatch[[#This Row],[Euro_Match_Number]],lkupGroupGame[Euro_Match_Number],0),MATCH(tblGroupMatch[[#Headers],[Away_Group_Number]],lkupGroupGame[#Headers],0))</f>
        <v>2</v>
      </c>
      <c r="F15" s="53">
        <f>INDEX(lkupTeam[],MATCH(tblGroupMatch[[#This Row],[Group_Code]]&amp;tblGroupMatch[[#This Row],[Home_Group_Number]],lkupTeam[Team_Code],0),MATCH("Team_Number",lkupTeam[#Headers],0))</f>
        <v>21</v>
      </c>
      <c r="G15" s="53">
        <f>INDEX(lkupTeam[],MATCH(tblGroupMatch[[#This Row],[Group_Code]]&amp;tblGroupMatch[[#This Row],[Away_Group_Number]],lkupTeam[Team_Code],0),MATCH("Team_Number",lkupTeam[#Headers],0))</f>
        <v>22</v>
      </c>
      <c r="H15" s="53" t="str">
        <f>tblGroupMatch[[#This Row],[Group_Code]]&amp;MIN(tblGroupMatch[[#This Row],[Home_Group_Number]:[Away_Group_Number]])&amp;MAX(tblGroupMatch[[#This Row],[Home_Group_Number]:[Away_Group_Number]])</f>
        <v>F12</v>
      </c>
      <c r="I15" s="53">
        <f>INDEX(lkupGroupGame[],MATCH(tblGroupMatch[[#This Row],[Euro_Match_Number]],lkupGroupGame[Euro_Match_Number],0),MATCH(tblGroupMatch[[#Headers],[Match_Date]],lkupGroupGame[#Headers],0))</f>
        <v>44362</v>
      </c>
      <c r="J15" s="53">
        <f>INDEX(lkupGroupGame[],MATCH(tblGroupMatch[[#This Row],[Euro_Match_Number]],lkupGroupGame[Euro_Match_Number],0),MATCH(tblGroupMatch[[#Headers],[Match_Time_UK]],lkupGroupGame[#Headers],0))</f>
        <v>0.70833333333333337</v>
      </c>
      <c r="K15" s="53">
        <f>INDEX(lkupGroupGame[],MATCH(tblGroupMatch[[#This Row],[Euro_Match_Number]],lkupGroupGame[Euro_Match_Number],0),MATCH(tblGroupMatch[[#Headers],[Venue_Number]],lkupGroupGame[#Headers],0))</f>
        <v>6</v>
      </c>
      <c r="L15" s="53" t="str">
        <f>INDEX(lkupGroupGame[],MATCH(tblGroupMatch[[#This Row],[Euro_Match_Number]],lkupGroupGame[Euro_Match_Number],0),MATCH(tblGroupMatch[[#Headers],[TV_Station]],lkupGroupGame[#Headers],0))</f>
        <v>iTV</v>
      </c>
      <c r="M15" s="53" t="b">
        <f>AND(LEN(tblGroupMatch[[#This Row],[Team A Goals]])&gt;0,LEN(tblGroupMatch[[#This Row],[Team B Goals]])&gt;0,LEN(tblGroupMatch[[#This Row],[Team A YCs]])&gt;0,LEN(tblGroupMatch[[#This Row],[Team A RCs]])&gt;0,LEN(tblGroupMatch[[#This Row],[Team B Ycs]])&gt;0,LEN(tblGroupMatch[[#This Row],[Team B RCs]])&gt;0)</f>
        <v>0</v>
      </c>
      <c r="N15" s="53" t="b">
        <f>AND(tblGroupMatch[[#This Row],[Is_Complete]],OR(tblGroupMatch[[#This Row],[Team A Goals]]&gt;tblGroupMatch[[#This Row],[Team B Goals]],tblGroupMatch[[#This Row],[Team B Goals]]&gt;tblGroupMatch[[#This Row],[Team A Goals]]))</f>
        <v>0</v>
      </c>
      <c r="O15" s="53" t="str">
        <f>IF(tblGroupMatch[[#This Row],[Is_Complete]],IF(NOT(tblGroupMatch[[#This Row],[Is_Win]]),1,IF(tblGroupMatch[[#This Row],[Team A Goals]]&gt;tblGroupMatch[[#This Row],[Team B Goals]],3,0)),"")</f>
        <v/>
      </c>
      <c r="P15" s="53" t="str">
        <f>IF(tblGroupMatch[[#This Row],[Is_Complete]],IF(NOT(tblGroupMatch[[#This Row],[Is_Win]]),1,IF(tblGroupMatch[[#This Row],[Home_Points]]=0,3,0)),"")</f>
        <v/>
      </c>
      <c r="Q15" s="99">
        <f>tblGroupMatch[[#This Row],[Euro_Match_Number]]</f>
        <v>11</v>
      </c>
      <c r="R15" s="99" t="str">
        <f>tblGroupMatch[[#This Row],[Group_Code]]</f>
        <v>F</v>
      </c>
      <c r="S15" s="100">
        <f>SUM(tblGroupMatch[[#This Row],[Match_Date]],tblGroupMatch[[#This Row],[Match_Time_UK]])</f>
        <v>44362.708333333336</v>
      </c>
      <c r="T15" s="99" t="str">
        <f>INDEX(lkupVenue[],MATCH(tblGroupMatch[[#This Row],[Venue_Number]],lkupVenue[Venue_Number],0),MATCH("Venue_Short",lkupVenue[#Headers],0))</f>
        <v>Puskas Arena (HUN)</v>
      </c>
      <c r="U15" s="99" t="str">
        <f>INDEX(lkupTeam[],MATCH(tblGroupMatch[[#This Row],[Home_Team_Number]],lkupTeam[Team_Number],0),MATCH("Team",lkupTeam[#Headers],0))</f>
        <v>Hungary</v>
      </c>
      <c r="V15" s="101"/>
      <c r="W15" s="101"/>
      <c r="X15" s="101"/>
      <c r="Y15" s="102"/>
      <c r="Z15" s="99" t="str">
        <f>INDEX(lkupTeam[],MATCH(tblGroupMatch[[#This Row],[Away_Team_Number]],lkupTeam[Team_Number],0),MATCH("Team",lkupTeam[#Headers],0))</f>
        <v>Portugal</v>
      </c>
      <c r="AA15" s="101"/>
      <c r="AB15" s="101"/>
      <c r="AC15" s="101"/>
      <c r="AD15" s="102"/>
    </row>
    <row r="16" spans="2:30" x14ac:dyDescent="0.25">
      <c r="B16" s="54">
        <v>12</v>
      </c>
      <c r="C16" s="53" t="str">
        <f>INDEX(lkupGroupGame[],MATCH(tblGroupMatch[[#This Row],[Euro_Match_Number]],lkupGroupGame[Euro_Match_Number],0),MATCH(tblGroupMatch[[#Headers],[Group_Code]],lkupGroupGame[#Headers],0))</f>
        <v>F</v>
      </c>
      <c r="D16" s="53">
        <f>INDEX(lkupGroupGame[],MATCH(tblGroupMatch[[#This Row],[Euro_Match_Number]],lkupGroupGame[Euro_Match_Number],0),MATCH(tblGroupMatch[[#Headers],[Home_Group_Number]],lkupGroupGame[#Headers],0))</f>
        <v>3</v>
      </c>
      <c r="E16" s="53">
        <f>INDEX(lkupGroupGame[],MATCH(tblGroupMatch[[#This Row],[Euro_Match_Number]],lkupGroupGame[Euro_Match_Number],0),MATCH(tblGroupMatch[[#Headers],[Away_Group_Number]],lkupGroupGame[#Headers],0))</f>
        <v>4</v>
      </c>
      <c r="F16" s="53">
        <f>INDEX(lkupTeam[],MATCH(tblGroupMatch[[#This Row],[Group_Code]]&amp;tblGroupMatch[[#This Row],[Home_Group_Number]],lkupTeam[Team_Code],0),MATCH("Team_Number",lkupTeam[#Headers],0))</f>
        <v>23</v>
      </c>
      <c r="G16" s="53">
        <f>INDEX(lkupTeam[],MATCH(tblGroupMatch[[#This Row],[Group_Code]]&amp;tblGroupMatch[[#This Row],[Away_Group_Number]],lkupTeam[Team_Code],0),MATCH("Team_Number",lkupTeam[#Headers],0))</f>
        <v>24</v>
      </c>
      <c r="H16" s="53" t="str">
        <f>tblGroupMatch[[#This Row],[Group_Code]]&amp;MIN(tblGroupMatch[[#This Row],[Home_Group_Number]:[Away_Group_Number]])&amp;MAX(tblGroupMatch[[#This Row],[Home_Group_Number]:[Away_Group_Number]])</f>
        <v>F34</v>
      </c>
      <c r="I16" s="53">
        <f>INDEX(lkupGroupGame[],MATCH(tblGroupMatch[[#This Row],[Euro_Match_Number]],lkupGroupGame[Euro_Match_Number],0),MATCH(tblGroupMatch[[#Headers],[Match_Date]],lkupGroupGame[#Headers],0))</f>
        <v>44362</v>
      </c>
      <c r="J16" s="53">
        <f>INDEX(lkupGroupGame[],MATCH(tblGroupMatch[[#This Row],[Euro_Match_Number]],lkupGroupGame[Euro_Match_Number],0),MATCH(tblGroupMatch[[#Headers],[Match_Time_UK]],lkupGroupGame[#Headers],0))</f>
        <v>0.83333333333333337</v>
      </c>
      <c r="K16" s="53">
        <f>INDEX(lkupGroupGame[],MATCH(tblGroupMatch[[#This Row],[Euro_Match_Number]],lkupGroupGame[Euro_Match_Number],0),MATCH(tblGroupMatch[[#Headers],[Venue_Number]],lkupGroupGame[#Headers],0))</f>
        <v>3</v>
      </c>
      <c r="L16" s="53" t="str">
        <f>INDEX(lkupGroupGame[],MATCH(tblGroupMatch[[#This Row],[Euro_Match_Number]],lkupGroupGame[Euro_Match_Number],0),MATCH(tblGroupMatch[[#Headers],[TV_Station]],lkupGroupGame[#Headers],0))</f>
        <v>iTV</v>
      </c>
      <c r="M16" s="53" t="b">
        <f>AND(LEN(tblGroupMatch[[#This Row],[Team A Goals]])&gt;0,LEN(tblGroupMatch[[#This Row],[Team B Goals]])&gt;0,LEN(tblGroupMatch[[#This Row],[Team A YCs]])&gt;0,LEN(tblGroupMatch[[#This Row],[Team A RCs]])&gt;0,LEN(tblGroupMatch[[#This Row],[Team B Ycs]])&gt;0,LEN(tblGroupMatch[[#This Row],[Team B RCs]])&gt;0)</f>
        <v>0</v>
      </c>
      <c r="N16" s="53" t="b">
        <f>AND(tblGroupMatch[[#This Row],[Is_Complete]],OR(tblGroupMatch[[#This Row],[Team A Goals]]&gt;tblGroupMatch[[#This Row],[Team B Goals]],tblGroupMatch[[#This Row],[Team B Goals]]&gt;tblGroupMatch[[#This Row],[Team A Goals]]))</f>
        <v>0</v>
      </c>
      <c r="O16" s="53" t="str">
        <f>IF(tblGroupMatch[[#This Row],[Is_Complete]],IF(NOT(tblGroupMatch[[#This Row],[Is_Win]]),1,IF(tblGroupMatch[[#This Row],[Team A Goals]]&gt;tblGroupMatch[[#This Row],[Team B Goals]],3,0)),"")</f>
        <v/>
      </c>
      <c r="P16" s="53" t="str">
        <f>IF(tblGroupMatch[[#This Row],[Is_Complete]],IF(NOT(tblGroupMatch[[#This Row],[Is_Win]]),1,IF(tblGroupMatch[[#This Row],[Home_Points]]=0,3,0)),"")</f>
        <v/>
      </c>
      <c r="Q16" s="99">
        <f>tblGroupMatch[[#This Row],[Euro_Match_Number]]</f>
        <v>12</v>
      </c>
      <c r="R16" s="99" t="str">
        <f>tblGroupMatch[[#This Row],[Group_Code]]</f>
        <v>F</v>
      </c>
      <c r="S16" s="100">
        <f>SUM(tblGroupMatch[[#This Row],[Match_Date]],tblGroupMatch[[#This Row],[Match_Time_UK]])</f>
        <v>44362.833333333336</v>
      </c>
      <c r="T16" s="99" t="str">
        <f>INDEX(lkupVenue[],MATCH(tblGroupMatch[[#This Row],[Venue_Number]],lkupVenue[Venue_Number],0),MATCH("Venue_Short",lkupVenue[#Headers],0))</f>
        <v>Allianz Arena (GER)</v>
      </c>
      <c r="U16" s="99" t="str">
        <f>INDEX(lkupTeam[],MATCH(tblGroupMatch[[#This Row],[Home_Team_Number]],lkupTeam[Team_Number],0),MATCH("Team",lkupTeam[#Headers],0))</f>
        <v>France</v>
      </c>
      <c r="V16" s="101"/>
      <c r="W16" s="101"/>
      <c r="X16" s="101"/>
      <c r="Y16" s="102"/>
      <c r="Z16" s="99" t="str">
        <f>INDEX(lkupTeam[],MATCH(tblGroupMatch[[#This Row],[Away_Team_Number]],lkupTeam[Team_Number],0),MATCH("Team",lkupTeam[#Headers],0))</f>
        <v>Germany</v>
      </c>
      <c r="AA16" s="101"/>
      <c r="AB16" s="101"/>
      <c r="AC16" s="101"/>
      <c r="AD16" s="102"/>
    </row>
    <row r="17" spans="2:30" x14ac:dyDescent="0.25">
      <c r="B17" s="54">
        <v>15</v>
      </c>
      <c r="C17" s="53" t="str">
        <f>INDEX(lkupGroupGame[],MATCH(tblGroupMatch[[#This Row],[Euro_Match_Number]],lkupGroupGame[Euro_Match_Number],0),MATCH(tblGroupMatch[[#Headers],[Group_Code]],lkupGroupGame[#Headers],0))</f>
        <v>B</v>
      </c>
      <c r="D17" s="53">
        <f>INDEX(lkupGroupGame[],MATCH(tblGroupMatch[[#This Row],[Euro_Match_Number]],lkupGroupGame[Euro_Match_Number],0),MATCH(tblGroupMatch[[#Headers],[Home_Group_Number]],lkupGroupGame[#Headers],0))</f>
        <v>2</v>
      </c>
      <c r="E17" s="53">
        <f>INDEX(lkupGroupGame[],MATCH(tblGroupMatch[[#This Row],[Euro_Match_Number]],lkupGroupGame[Euro_Match_Number],0),MATCH(tblGroupMatch[[#Headers],[Away_Group_Number]],lkupGroupGame[#Headers],0))</f>
        <v>4</v>
      </c>
      <c r="F17" s="53">
        <f>INDEX(lkupTeam[],MATCH(tblGroupMatch[[#This Row],[Group_Code]]&amp;tblGroupMatch[[#This Row],[Home_Group_Number]],lkupTeam[Team_Code],0),MATCH("Team_Number",lkupTeam[#Headers],0))</f>
        <v>6</v>
      </c>
      <c r="G17" s="53">
        <f>INDEX(lkupTeam[],MATCH(tblGroupMatch[[#This Row],[Group_Code]]&amp;tblGroupMatch[[#This Row],[Away_Group_Number]],lkupTeam[Team_Code],0),MATCH("Team_Number",lkupTeam[#Headers],0))</f>
        <v>8</v>
      </c>
      <c r="H17" s="53" t="str">
        <f>tblGroupMatch[[#This Row],[Group_Code]]&amp;MIN(tblGroupMatch[[#This Row],[Home_Group_Number]:[Away_Group_Number]])&amp;MAX(tblGroupMatch[[#This Row],[Home_Group_Number]:[Away_Group_Number]])</f>
        <v>B24</v>
      </c>
      <c r="I17" s="53">
        <f>INDEX(lkupGroupGame[],MATCH(tblGroupMatch[[#This Row],[Euro_Match_Number]],lkupGroupGame[Euro_Match_Number],0),MATCH(tblGroupMatch[[#Headers],[Match_Date]],lkupGroupGame[#Headers],0))</f>
        <v>44363</v>
      </c>
      <c r="J17" s="53">
        <f>INDEX(lkupGroupGame[],MATCH(tblGroupMatch[[#This Row],[Euro_Match_Number]],lkupGroupGame[Euro_Match_Number],0),MATCH(tblGroupMatch[[#Headers],[Match_Time_UK]],lkupGroupGame[#Headers],0))</f>
        <v>0.58333333333333337</v>
      </c>
      <c r="K17" s="53">
        <f>INDEX(lkupGroupGame[],MATCH(tblGroupMatch[[#This Row],[Euro_Match_Number]],lkupGroupGame[Euro_Match_Number],0),MATCH(tblGroupMatch[[#Headers],[Venue_Number]],lkupGroupGame[#Headers],0))</f>
        <v>5</v>
      </c>
      <c r="L17" s="53" t="str">
        <f>INDEX(lkupGroupGame[],MATCH(tblGroupMatch[[#This Row],[Euro_Match_Number]],lkupGroupGame[Euro_Match_Number],0),MATCH(tblGroupMatch[[#Headers],[TV_Station]],lkupGroupGame[#Headers],0))</f>
        <v>BBC</v>
      </c>
      <c r="M17" s="53" t="b">
        <f>AND(LEN(tblGroupMatch[[#This Row],[Team A Goals]])&gt;0,LEN(tblGroupMatch[[#This Row],[Team B Goals]])&gt;0,LEN(tblGroupMatch[[#This Row],[Team A YCs]])&gt;0,LEN(tblGroupMatch[[#This Row],[Team A RCs]])&gt;0,LEN(tblGroupMatch[[#This Row],[Team B Ycs]])&gt;0,LEN(tblGroupMatch[[#This Row],[Team B RCs]])&gt;0)</f>
        <v>0</v>
      </c>
      <c r="N17" s="53" t="b">
        <f>AND(tblGroupMatch[[#This Row],[Is_Complete]],OR(tblGroupMatch[[#This Row],[Team A Goals]]&gt;tblGroupMatch[[#This Row],[Team B Goals]],tblGroupMatch[[#This Row],[Team B Goals]]&gt;tblGroupMatch[[#This Row],[Team A Goals]]))</f>
        <v>0</v>
      </c>
      <c r="O17" s="53" t="str">
        <f>IF(tblGroupMatch[[#This Row],[Is_Complete]],IF(NOT(tblGroupMatch[[#This Row],[Is_Win]]),1,IF(tblGroupMatch[[#This Row],[Team A Goals]]&gt;tblGroupMatch[[#This Row],[Team B Goals]],3,0)),"")</f>
        <v/>
      </c>
      <c r="P17" s="53" t="str">
        <f>IF(tblGroupMatch[[#This Row],[Is_Complete]],IF(NOT(tblGroupMatch[[#This Row],[Is_Win]]),1,IF(tblGroupMatch[[#This Row],[Home_Points]]=0,3,0)),"")</f>
        <v/>
      </c>
      <c r="Q17" s="99">
        <f>tblGroupMatch[[#This Row],[Euro_Match_Number]]</f>
        <v>15</v>
      </c>
      <c r="R17" s="99" t="str">
        <f>tblGroupMatch[[#This Row],[Group_Code]]</f>
        <v>B</v>
      </c>
      <c r="S17" s="100">
        <f>SUM(tblGroupMatch[[#This Row],[Match_Date]],tblGroupMatch[[#This Row],[Match_Time_UK]])</f>
        <v>44363.583333333336</v>
      </c>
      <c r="T17" s="99" t="str">
        <f>INDEX(lkupVenue[],MATCH(tblGroupMatch[[#This Row],[Venue_Number]],lkupVenue[Venue_Number],0),MATCH("Venue_Short",lkupVenue[#Headers],0))</f>
        <v>Krestovsky Stadium (RUS)</v>
      </c>
      <c r="U17" s="99" t="str">
        <f>INDEX(lkupTeam[],MATCH(tblGroupMatch[[#This Row],[Home_Team_Number]],lkupTeam[Team_Number],0),MATCH("Team",lkupTeam[#Headers],0))</f>
        <v>Finland</v>
      </c>
      <c r="V17" s="101"/>
      <c r="W17" s="101"/>
      <c r="X17" s="101"/>
      <c r="Y17" s="102"/>
      <c r="Z17" s="99" t="str">
        <f>INDEX(lkupTeam[],MATCH(tblGroupMatch[[#This Row],[Away_Team_Number]],lkupTeam[Team_Number],0),MATCH("Team",lkupTeam[#Headers],0))</f>
        <v>Russia</v>
      </c>
      <c r="AA17" s="101"/>
      <c r="AB17" s="101"/>
      <c r="AC17" s="101"/>
      <c r="AD17" s="102"/>
    </row>
    <row r="18" spans="2:30" x14ac:dyDescent="0.25">
      <c r="B18" s="54">
        <v>13</v>
      </c>
      <c r="C18" s="53" t="str">
        <f>INDEX(lkupGroupGame[],MATCH(tblGroupMatch[[#This Row],[Euro_Match_Number]],lkupGroupGame[Euro_Match_Number],0),MATCH(tblGroupMatch[[#Headers],[Group_Code]],lkupGroupGame[#Headers],0))</f>
        <v>A</v>
      </c>
      <c r="D18" s="53">
        <f>INDEX(lkupGroupGame[],MATCH(tblGroupMatch[[#This Row],[Euro_Match_Number]],lkupGroupGame[Euro_Match_Number],0),MATCH(tblGroupMatch[[#Headers],[Home_Group_Number]],lkupGroupGame[#Headers],0))</f>
        <v>1</v>
      </c>
      <c r="E18" s="53">
        <f>INDEX(lkupGroupGame[],MATCH(tblGroupMatch[[#This Row],[Euro_Match_Number]],lkupGroupGame[Euro_Match_Number],0),MATCH(tblGroupMatch[[#Headers],[Away_Group_Number]],lkupGroupGame[#Headers],0))</f>
        <v>3</v>
      </c>
      <c r="F18" s="53">
        <f>INDEX(lkupTeam[],MATCH(tblGroupMatch[[#This Row],[Group_Code]]&amp;tblGroupMatch[[#This Row],[Home_Group_Number]],lkupTeam[Team_Code],0),MATCH("Team_Number",lkupTeam[#Headers],0))</f>
        <v>1</v>
      </c>
      <c r="G18" s="53">
        <f>INDEX(lkupTeam[],MATCH(tblGroupMatch[[#This Row],[Group_Code]]&amp;tblGroupMatch[[#This Row],[Away_Group_Number]],lkupTeam[Team_Code],0),MATCH("Team_Number",lkupTeam[#Headers],0))</f>
        <v>3</v>
      </c>
      <c r="H18" s="53" t="str">
        <f>tblGroupMatch[[#This Row],[Group_Code]]&amp;MIN(tblGroupMatch[[#This Row],[Home_Group_Number]:[Away_Group_Number]])&amp;MAX(tblGroupMatch[[#This Row],[Home_Group_Number]:[Away_Group_Number]])</f>
        <v>A13</v>
      </c>
      <c r="I18" s="53">
        <f>INDEX(lkupGroupGame[],MATCH(tblGroupMatch[[#This Row],[Euro_Match_Number]],lkupGroupGame[Euro_Match_Number],0),MATCH(tblGroupMatch[[#Headers],[Match_Date]],lkupGroupGame[#Headers],0))</f>
        <v>44363</v>
      </c>
      <c r="J18" s="53">
        <f>INDEX(lkupGroupGame[],MATCH(tblGroupMatch[[#This Row],[Euro_Match_Number]],lkupGroupGame[Euro_Match_Number],0),MATCH(tblGroupMatch[[#Headers],[Match_Time_UK]],lkupGroupGame[#Headers],0))</f>
        <v>0.70833333333333337</v>
      </c>
      <c r="K18" s="53">
        <f>INDEX(lkupGroupGame[],MATCH(tblGroupMatch[[#This Row],[Euro_Match_Number]],lkupGroupGame[Euro_Match_Number],0),MATCH(tblGroupMatch[[#Headers],[Venue_Number]],lkupGroupGame[#Headers],0))</f>
        <v>4</v>
      </c>
      <c r="L18" s="53" t="str">
        <f>INDEX(lkupGroupGame[],MATCH(tblGroupMatch[[#This Row],[Euro_Match_Number]],lkupGroupGame[Euro_Match_Number],0),MATCH(tblGroupMatch[[#Headers],[TV_Station]],lkupGroupGame[#Headers],0))</f>
        <v>BBC</v>
      </c>
      <c r="M18" s="53" t="b">
        <f>AND(LEN(tblGroupMatch[[#This Row],[Team A Goals]])&gt;0,LEN(tblGroupMatch[[#This Row],[Team B Goals]])&gt;0,LEN(tblGroupMatch[[#This Row],[Team A YCs]])&gt;0,LEN(tblGroupMatch[[#This Row],[Team A RCs]])&gt;0,LEN(tblGroupMatch[[#This Row],[Team B Ycs]])&gt;0,LEN(tblGroupMatch[[#This Row],[Team B RCs]])&gt;0)</f>
        <v>0</v>
      </c>
      <c r="N18" s="53" t="b">
        <f>AND(tblGroupMatch[[#This Row],[Is_Complete]],OR(tblGroupMatch[[#This Row],[Team A Goals]]&gt;tblGroupMatch[[#This Row],[Team B Goals]],tblGroupMatch[[#This Row],[Team B Goals]]&gt;tblGroupMatch[[#This Row],[Team A Goals]]))</f>
        <v>0</v>
      </c>
      <c r="O18" s="53" t="str">
        <f>IF(tblGroupMatch[[#This Row],[Is_Complete]],IF(NOT(tblGroupMatch[[#This Row],[Is_Win]]),1,IF(tblGroupMatch[[#This Row],[Team A Goals]]&gt;tblGroupMatch[[#This Row],[Team B Goals]],3,0)),"")</f>
        <v/>
      </c>
      <c r="P18" s="53" t="str">
        <f>IF(tblGroupMatch[[#This Row],[Is_Complete]],IF(NOT(tblGroupMatch[[#This Row],[Is_Win]]),1,IF(tblGroupMatch[[#This Row],[Home_Points]]=0,3,0)),"")</f>
        <v/>
      </c>
      <c r="Q18" s="99">
        <f>tblGroupMatch[[#This Row],[Euro_Match_Number]]</f>
        <v>13</v>
      </c>
      <c r="R18" s="99" t="str">
        <f>tblGroupMatch[[#This Row],[Group_Code]]</f>
        <v>A</v>
      </c>
      <c r="S18" s="100">
        <f>SUM(tblGroupMatch[[#This Row],[Match_Date]],tblGroupMatch[[#This Row],[Match_Time_UK]])</f>
        <v>44363.708333333336</v>
      </c>
      <c r="T18" s="99" t="str">
        <f>INDEX(lkupVenue[],MATCH(tblGroupMatch[[#This Row],[Venue_Number]],lkupVenue[Venue_Number],0),MATCH("Venue_Short",lkupVenue[#Headers],0))</f>
        <v>Olympic Stadium (AZE)</v>
      </c>
      <c r="U18" s="99" t="str">
        <f>INDEX(lkupTeam[],MATCH(tblGroupMatch[[#This Row],[Home_Team_Number]],lkupTeam[Team_Number],0),MATCH("Team",lkupTeam[#Headers],0))</f>
        <v>Turkey</v>
      </c>
      <c r="V18" s="101"/>
      <c r="W18" s="101"/>
      <c r="X18" s="101"/>
      <c r="Y18" s="102"/>
      <c r="Z18" s="99" t="str">
        <f>INDEX(lkupTeam[],MATCH(tblGroupMatch[[#This Row],[Away_Team_Number]],lkupTeam[Team_Number],0),MATCH("Team",lkupTeam[#Headers],0))</f>
        <v>Wales</v>
      </c>
      <c r="AA18" s="101"/>
      <c r="AB18" s="101"/>
      <c r="AC18" s="101"/>
      <c r="AD18" s="102"/>
    </row>
    <row r="19" spans="2:30" x14ac:dyDescent="0.25">
      <c r="B19" s="54">
        <v>14</v>
      </c>
      <c r="C19" s="53" t="str">
        <f>INDEX(lkupGroupGame[],MATCH(tblGroupMatch[[#This Row],[Euro_Match_Number]],lkupGroupGame[Euro_Match_Number],0),MATCH(tblGroupMatch[[#Headers],[Group_Code]],lkupGroupGame[#Headers],0))</f>
        <v>A</v>
      </c>
      <c r="D19" s="53">
        <f>INDEX(lkupGroupGame[],MATCH(tblGroupMatch[[#This Row],[Euro_Match_Number]],lkupGroupGame[Euro_Match_Number],0),MATCH(tblGroupMatch[[#Headers],[Home_Group_Number]],lkupGroupGame[#Headers],0))</f>
        <v>2</v>
      </c>
      <c r="E19" s="53">
        <f>INDEX(lkupGroupGame[],MATCH(tblGroupMatch[[#This Row],[Euro_Match_Number]],lkupGroupGame[Euro_Match_Number],0),MATCH(tblGroupMatch[[#Headers],[Away_Group_Number]],lkupGroupGame[#Headers],0))</f>
        <v>4</v>
      </c>
      <c r="F19" s="53">
        <f>INDEX(lkupTeam[],MATCH(tblGroupMatch[[#This Row],[Group_Code]]&amp;tblGroupMatch[[#This Row],[Home_Group_Number]],lkupTeam[Team_Code],0),MATCH("Team_Number",lkupTeam[#Headers],0))</f>
        <v>2</v>
      </c>
      <c r="G19" s="53">
        <f>INDEX(lkupTeam[],MATCH(tblGroupMatch[[#This Row],[Group_Code]]&amp;tblGroupMatch[[#This Row],[Away_Group_Number]],lkupTeam[Team_Code],0),MATCH("Team_Number",lkupTeam[#Headers],0))</f>
        <v>4</v>
      </c>
      <c r="H19" s="53" t="str">
        <f>tblGroupMatch[[#This Row],[Group_Code]]&amp;MIN(tblGroupMatch[[#This Row],[Home_Group_Number]:[Away_Group_Number]])&amp;MAX(tblGroupMatch[[#This Row],[Home_Group_Number]:[Away_Group_Number]])</f>
        <v>A24</v>
      </c>
      <c r="I19" s="53">
        <f>INDEX(lkupGroupGame[],MATCH(tblGroupMatch[[#This Row],[Euro_Match_Number]],lkupGroupGame[Euro_Match_Number],0),MATCH(tblGroupMatch[[#Headers],[Match_Date]],lkupGroupGame[#Headers],0))</f>
        <v>44363</v>
      </c>
      <c r="J19" s="53">
        <f>INDEX(lkupGroupGame[],MATCH(tblGroupMatch[[#This Row],[Euro_Match_Number]],lkupGroupGame[Euro_Match_Number],0),MATCH(tblGroupMatch[[#Headers],[Match_Time_UK]],lkupGroupGame[#Headers],0))</f>
        <v>0.83333333333333337</v>
      </c>
      <c r="K19" s="53">
        <f>INDEX(lkupGroupGame[],MATCH(tblGroupMatch[[#This Row],[Euro_Match_Number]],lkupGroupGame[Euro_Match_Number],0),MATCH(tblGroupMatch[[#Headers],[Venue_Number]],lkupGroupGame[#Headers],0))</f>
        <v>2</v>
      </c>
      <c r="L19" s="53" t="str">
        <f>INDEX(lkupGroupGame[],MATCH(tblGroupMatch[[#This Row],[Euro_Match_Number]],lkupGroupGame[Euro_Match_Number],0),MATCH(tblGroupMatch[[#Headers],[TV_Station]],lkupGroupGame[#Headers],0))</f>
        <v>iTV</v>
      </c>
      <c r="M19" s="53" t="b">
        <f>AND(LEN(tblGroupMatch[[#This Row],[Team A Goals]])&gt;0,LEN(tblGroupMatch[[#This Row],[Team B Goals]])&gt;0,LEN(tblGroupMatch[[#This Row],[Team A YCs]])&gt;0,LEN(tblGroupMatch[[#This Row],[Team A RCs]])&gt;0,LEN(tblGroupMatch[[#This Row],[Team B Ycs]])&gt;0,LEN(tblGroupMatch[[#This Row],[Team B RCs]])&gt;0)</f>
        <v>0</v>
      </c>
      <c r="N19" s="53" t="b">
        <f>AND(tblGroupMatch[[#This Row],[Is_Complete]],OR(tblGroupMatch[[#This Row],[Team A Goals]]&gt;tblGroupMatch[[#This Row],[Team B Goals]],tblGroupMatch[[#This Row],[Team B Goals]]&gt;tblGroupMatch[[#This Row],[Team A Goals]]))</f>
        <v>0</v>
      </c>
      <c r="O19" s="53" t="str">
        <f>IF(tblGroupMatch[[#This Row],[Is_Complete]],IF(NOT(tblGroupMatch[[#This Row],[Is_Win]]),1,IF(tblGroupMatch[[#This Row],[Team A Goals]]&gt;tblGroupMatch[[#This Row],[Team B Goals]],3,0)),"")</f>
        <v/>
      </c>
      <c r="P19" s="53" t="str">
        <f>IF(tblGroupMatch[[#This Row],[Is_Complete]],IF(NOT(tblGroupMatch[[#This Row],[Is_Win]]),1,IF(tblGroupMatch[[#This Row],[Home_Points]]=0,3,0)),"")</f>
        <v/>
      </c>
      <c r="Q19" s="99">
        <f>tblGroupMatch[[#This Row],[Euro_Match_Number]]</f>
        <v>14</v>
      </c>
      <c r="R19" s="99" t="str">
        <f>tblGroupMatch[[#This Row],[Group_Code]]</f>
        <v>A</v>
      </c>
      <c r="S19" s="100">
        <f>SUM(tblGroupMatch[[#This Row],[Match_Date]],tblGroupMatch[[#This Row],[Match_Time_UK]])</f>
        <v>44363.833333333336</v>
      </c>
      <c r="T19" s="99" t="str">
        <f>INDEX(lkupVenue[],MATCH(tblGroupMatch[[#This Row],[Venue_Number]],lkupVenue[Venue_Number],0),MATCH("Venue_Short",lkupVenue[#Headers],0))</f>
        <v>Stadio Olimpico (ITA)</v>
      </c>
      <c r="U19" s="99" t="str">
        <f>INDEX(lkupTeam[],MATCH(tblGroupMatch[[#This Row],[Home_Team_Number]],lkupTeam[Team_Number],0),MATCH("Team",lkupTeam[#Headers],0))</f>
        <v>Italy</v>
      </c>
      <c r="V19" s="101"/>
      <c r="W19" s="101"/>
      <c r="X19" s="101"/>
      <c r="Y19" s="102"/>
      <c r="Z19" s="99" t="str">
        <f>INDEX(lkupTeam[],MATCH(tblGroupMatch[[#This Row],[Away_Team_Number]],lkupTeam[Team_Number],0),MATCH("Team",lkupTeam[#Headers],0))</f>
        <v>Switzerland</v>
      </c>
      <c r="AA19" s="101"/>
      <c r="AB19" s="101"/>
      <c r="AC19" s="101"/>
      <c r="AD19" s="102"/>
    </row>
    <row r="20" spans="2:30" x14ac:dyDescent="0.25">
      <c r="B20" s="54">
        <v>18</v>
      </c>
      <c r="C20" s="53" t="str">
        <f>INDEX(lkupGroupGame[],MATCH(tblGroupMatch[[#This Row],[Euro_Match_Number]],lkupGroupGame[Euro_Match_Number],0),MATCH(tblGroupMatch[[#Headers],[Group_Code]],lkupGroupGame[#Headers],0))</f>
        <v>C</v>
      </c>
      <c r="D20" s="53">
        <f>INDEX(lkupGroupGame[],MATCH(tblGroupMatch[[#This Row],[Euro_Match_Number]],lkupGroupGame[Euro_Match_Number],0),MATCH(tblGroupMatch[[#Headers],[Home_Group_Number]],lkupGroupGame[#Headers],0))</f>
        <v>4</v>
      </c>
      <c r="E20" s="53">
        <f>INDEX(lkupGroupGame[],MATCH(tblGroupMatch[[#This Row],[Euro_Match_Number]],lkupGroupGame[Euro_Match_Number],0),MATCH(tblGroupMatch[[#Headers],[Away_Group_Number]],lkupGroupGame[#Headers],0))</f>
        <v>2</v>
      </c>
      <c r="F20" s="53">
        <f>INDEX(lkupTeam[],MATCH(tblGroupMatch[[#This Row],[Group_Code]]&amp;tblGroupMatch[[#This Row],[Home_Group_Number]],lkupTeam[Team_Code],0),MATCH("Team_Number",lkupTeam[#Headers],0))</f>
        <v>12</v>
      </c>
      <c r="G20" s="53">
        <f>INDEX(lkupTeam[],MATCH(tblGroupMatch[[#This Row],[Group_Code]]&amp;tblGroupMatch[[#This Row],[Away_Group_Number]],lkupTeam[Team_Code],0),MATCH("Team_Number",lkupTeam[#Headers],0))</f>
        <v>10</v>
      </c>
      <c r="H20" s="53" t="str">
        <f>tblGroupMatch[[#This Row],[Group_Code]]&amp;MIN(tblGroupMatch[[#This Row],[Home_Group_Number]:[Away_Group_Number]])&amp;MAX(tblGroupMatch[[#This Row],[Home_Group_Number]:[Away_Group_Number]])</f>
        <v>C24</v>
      </c>
      <c r="I20" s="53">
        <f>INDEX(lkupGroupGame[],MATCH(tblGroupMatch[[#This Row],[Euro_Match_Number]],lkupGroupGame[Euro_Match_Number],0),MATCH(tblGroupMatch[[#Headers],[Match_Date]],lkupGroupGame[#Headers],0))</f>
        <v>44364</v>
      </c>
      <c r="J20" s="53">
        <f>INDEX(lkupGroupGame[],MATCH(tblGroupMatch[[#This Row],[Euro_Match_Number]],lkupGroupGame[Euro_Match_Number],0),MATCH(tblGroupMatch[[#Headers],[Match_Time_UK]],lkupGroupGame[#Headers],0))</f>
        <v>0.58333333333333337</v>
      </c>
      <c r="K20" s="53">
        <f>INDEX(lkupGroupGame[],MATCH(tblGroupMatch[[#This Row],[Euro_Match_Number]],lkupGroupGame[Euro_Match_Number],0),MATCH(tblGroupMatch[[#Headers],[Venue_Number]],lkupGroupGame[#Headers],0))</f>
        <v>8</v>
      </c>
      <c r="L20" s="53" t="str">
        <f>INDEX(lkupGroupGame[],MATCH(tblGroupMatch[[#This Row],[Euro_Match_Number]],lkupGroupGame[Euro_Match_Number],0),MATCH(tblGroupMatch[[#Headers],[TV_Station]],lkupGroupGame[#Headers],0))</f>
        <v>iTV</v>
      </c>
      <c r="M20" s="53" t="b">
        <f>AND(LEN(tblGroupMatch[[#This Row],[Team A Goals]])&gt;0,LEN(tblGroupMatch[[#This Row],[Team B Goals]])&gt;0,LEN(tblGroupMatch[[#This Row],[Team A YCs]])&gt;0,LEN(tblGroupMatch[[#This Row],[Team A RCs]])&gt;0,LEN(tblGroupMatch[[#This Row],[Team B Ycs]])&gt;0,LEN(tblGroupMatch[[#This Row],[Team B RCs]])&gt;0)</f>
        <v>0</v>
      </c>
      <c r="N20" s="53" t="b">
        <f>AND(tblGroupMatch[[#This Row],[Is_Complete]],OR(tblGroupMatch[[#This Row],[Team A Goals]]&gt;tblGroupMatch[[#This Row],[Team B Goals]],tblGroupMatch[[#This Row],[Team B Goals]]&gt;tblGroupMatch[[#This Row],[Team A Goals]]))</f>
        <v>0</v>
      </c>
      <c r="O20" s="53" t="str">
        <f>IF(tblGroupMatch[[#This Row],[Is_Complete]],IF(NOT(tblGroupMatch[[#This Row],[Is_Win]]),1,IF(tblGroupMatch[[#This Row],[Team A Goals]]&gt;tblGroupMatch[[#This Row],[Team B Goals]],3,0)),"")</f>
        <v/>
      </c>
      <c r="P20" s="53" t="str">
        <f>IF(tblGroupMatch[[#This Row],[Is_Complete]],IF(NOT(tblGroupMatch[[#This Row],[Is_Win]]),1,IF(tblGroupMatch[[#This Row],[Home_Points]]=0,3,0)),"")</f>
        <v/>
      </c>
      <c r="Q20" s="99">
        <f>tblGroupMatch[[#This Row],[Euro_Match_Number]]</f>
        <v>18</v>
      </c>
      <c r="R20" s="99" t="str">
        <f>tblGroupMatch[[#This Row],[Group_Code]]</f>
        <v>C</v>
      </c>
      <c r="S20" s="100">
        <f>SUM(tblGroupMatch[[#This Row],[Match_Date]],tblGroupMatch[[#This Row],[Match_Time_UK]])</f>
        <v>44364.583333333336</v>
      </c>
      <c r="T20" s="99" t="str">
        <f>INDEX(lkupVenue[],MATCH(tblGroupMatch[[#This Row],[Venue_Number]],lkupVenue[Venue_Number],0),MATCH("Venue_Short",lkupVenue[#Headers],0))</f>
        <v>Arean Nationala (ROM)</v>
      </c>
      <c r="U20" s="99" t="str">
        <f>INDEX(lkupTeam[],MATCH(tblGroupMatch[[#This Row],[Home_Team_Number]],lkupTeam[Team_Number],0),MATCH("Team",lkupTeam[#Headers],0))</f>
        <v>Ukraine</v>
      </c>
      <c r="V20" s="101"/>
      <c r="W20" s="101"/>
      <c r="X20" s="101"/>
      <c r="Y20" s="102"/>
      <c r="Z20" s="99" t="str">
        <f>INDEX(lkupTeam[],MATCH(tblGroupMatch[[#This Row],[Away_Team_Number]],lkupTeam[Team_Number],0),MATCH("Team",lkupTeam[#Headers],0))</f>
        <v>North Macedonia</v>
      </c>
      <c r="AA20" s="101"/>
      <c r="AB20" s="101"/>
      <c r="AC20" s="101"/>
      <c r="AD20" s="102"/>
    </row>
    <row r="21" spans="2:30" x14ac:dyDescent="0.25">
      <c r="B21" s="54">
        <v>16</v>
      </c>
      <c r="C21" s="53" t="str">
        <f>INDEX(lkupGroupGame[],MATCH(tblGroupMatch[[#This Row],[Euro_Match_Number]],lkupGroupGame[Euro_Match_Number],0),MATCH(tblGroupMatch[[#Headers],[Group_Code]],lkupGroupGame[#Headers],0))</f>
        <v>B</v>
      </c>
      <c r="D21" s="53">
        <f>INDEX(lkupGroupGame[],MATCH(tblGroupMatch[[#This Row],[Euro_Match_Number]],lkupGroupGame[Euro_Match_Number],0),MATCH(tblGroupMatch[[#Headers],[Home_Group_Number]],lkupGroupGame[#Headers],0))</f>
        <v>1</v>
      </c>
      <c r="E21" s="53">
        <f>INDEX(lkupGroupGame[],MATCH(tblGroupMatch[[#This Row],[Euro_Match_Number]],lkupGroupGame[Euro_Match_Number],0),MATCH(tblGroupMatch[[#Headers],[Away_Group_Number]],lkupGroupGame[#Headers],0))</f>
        <v>3</v>
      </c>
      <c r="F21" s="53">
        <f>INDEX(lkupTeam[],MATCH(tblGroupMatch[[#This Row],[Group_Code]]&amp;tblGroupMatch[[#This Row],[Home_Group_Number]],lkupTeam[Team_Code],0),MATCH("Team_Number",lkupTeam[#Headers],0))</f>
        <v>5</v>
      </c>
      <c r="G21" s="53">
        <f>INDEX(lkupTeam[],MATCH(tblGroupMatch[[#This Row],[Group_Code]]&amp;tblGroupMatch[[#This Row],[Away_Group_Number]],lkupTeam[Team_Code],0),MATCH("Team_Number",lkupTeam[#Headers],0))</f>
        <v>7</v>
      </c>
      <c r="H21" s="53" t="str">
        <f>tblGroupMatch[[#This Row],[Group_Code]]&amp;MIN(tblGroupMatch[[#This Row],[Home_Group_Number]:[Away_Group_Number]])&amp;MAX(tblGroupMatch[[#This Row],[Home_Group_Number]:[Away_Group_Number]])</f>
        <v>B13</v>
      </c>
      <c r="I21" s="53">
        <f>INDEX(lkupGroupGame[],MATCH(tblGroupMatch[[#This Row],[Euro_Match_Number]],lkupGroupGame[Euro_Match_Number],0),MATCH(tblGroupMatch[[#Headers],[Match_Date]],lkupGroupGame[#Headers],0))</f>
        <v>44364</v>
      </c>
      <c r="J21" s="53">
        <f>INDEX(lkupGroupGame[],MATCH(tblGroupMatch[[#This Row],[Euro_Match_Number]],lkupGroupGame[Euro_Match_Number],0),MATCH(tblGroupMatch[[#Headers],[Match_Time_UK]],lkupGroupGame[#Headers],0))</f>
        <v>0.70833333333333337</v>
      </c>
      <c r="K21" s="53">
        <f>INDEX(lkupGroupGame[],MATCH(tblGroupMatch[[#This Row],[Euro_Match_Number]],lkupGroupGame[Euro_Match_Number],0),MATCH(tblGroupMatch[[#Headers],[Venue_Number]],lkupGroupGame[#Headers],0))</f>
        <v>11</v>
      </c>
      <c r="L21" s="53" t="str">
        <f>INDEX(lkupGroupGame[],MATCH(tblGroupMatch[[#This Row],[Euro_Match_Number]],lkupGroupGame[Euro_Match_Number],0),MATCH(tblGroupMatch[[#Headers],[TV_Station]],lkupGroupGame[#Headers],0))</f>
        <v>iTV</v>
      </c>
      <c r="M21" s="53" t="b">
        <f>AND(LEN(tblGroupMatch[[#This Row],[Team A Goals]])&gt;0,LEN(tblGroupMatch[[#This Row],[Team B Goals]])&gt;0,LEN(tblGroupMatch[[#This Row],[Team A YCs]])&gt;0,LEN(tblGroupMatch[[#This Row],[Team A RCs]])&gt;0,LEN(tblGroupMatch[[#This Row],[Team B Ycs]])&gt;0,LEN(tblGroupMatch[[#This Row],[Team B RCs]])&gt;0)</f>
        <v>0</v>
      </c>
      <c r="N21" s="53" t="b">
        <f>AND(tblGroupMatch[[#This Row],[Is_Complete]],OR(tblGroupMatch[[#This Row],[Team A Goals]]&gt;tblGroupMatch[[#This Row],[Team B Goals]],tblGroupMatch[[#This Row],[Team B Goals]]&gt;tblGroupMatch[[#This Row],[Team A Goals]]))</f>
        <v>0</v>
      </c>
      <c r="O21" s="53" t="str">
        <f>IF(tblGroupMatch[[#This Row],[Is_Complete]],IF(NOT(tblGroupMatch[[#This Row],[Is_Win]]),1,IF(tblGroupMatch[[#This Row],[Team A Goals]]&gt;tblGroupMatch[[#This Row],[Team B Goals]],3,0)),"")</f>
        <v/>
      </c>
      <c r="P21" s="53" t="str">
        <f>IF(tblGroupMatch[[#This Row],[Is_Complete]],IF(NOT(tblGroupMatch[[#This Row],[Is_Win]]),1,IF(tblGroupMatch[[#This Row],[Home_Points]]=0,3,0)),"")</f>
        <v/>
      </c>
      <c r="Q21" s="99">
        <f>tblGroupMatch[[#This Row],[Euro_Match_Number]]</f>
        <v>16</v>
      </c>
      <c r="R21" s="99" t="str">
        <f>tblGroupMatch[[#This Row],[Group_Code]]</f>
        <v>B</v>
      </c>
      <c r="S21" s="100">
        <f>SUM(tblGroupMatch[[#This Row],[Match_Date]],tblGroupMatch[[#This Row],[Match_Time_UK]])</f>
        <v>44364.708333333336</v>
      </c>
      <c r="T21" s="99" t="str">
        <f>INDEX(lkupVenue[],MATCH(tblGroupMatch[[#This Row],[Venue_Number]],lkupVenue[Venue_Number],0),MATCH("Venue_Short",lkupVenue[#Headers],0))</f>
        <v>Parken Stadium (DEN)</v>
      </c>
      <c r="U21" s="99" t="str">
        <f>INDEX(lkupTeam[],MATCH(tblGroupMatch[[#This Row],[Home_Team_Number]],lkupTeam[Team_Number],0),MATCH("Team",lkupTeam[#Headers],0))</f>
        <v>Denmark</v>
      </c>
      <c r="V21" s="101"/>
      <c r="W21" s="101"/>
      <c r="X21" s="101"/>
      <c r="Y21" s="102"/>
      <c r="Z21" s="99" t="str">
        <f>INDEX(lkupTeam[],MATCH(tblGroupMatch[[#This Row],[Away_Team_Number]],lkupTeam[Team_Number],0),MATCH("Team",lkupTeam[#Headers],0))</f>
        <v>Belgium</v>
      </c>
      <c r="AA21" s="101"/>
      <c r="AB21" s="101"/>
      <c r="AC21" s="101"/>
      <c r="AD21" s="102"/>
    </row>
    <row r="22" spans="2:30" x14ac:dyDescent="0.25">
      <c r="B22" s="54">
        <v>17</v>
      </c>
      <c r="C22" s="53" t="str">
        <f>INDEX(lkupGroupGame[],MATCH(tblGroupMatch[[#This Row],[Euro_Match_Number]],lkupGroupGame[Euro_Match_Number],0),MATCH(tblGroupMatch[[#Headers],[Group_Code]],lkupGroupGame[#Headers],0))</f>
        <v>C</v>
      </c>
      <c r="D22" s="53">
        <f>INDEX(lkupGroupGame[],MATCH(tblGroupMatch[[#This Row],[Euro_Match_Number]],lkupGroupGame[Euro_Match_Number],0),MATCH(tblGroupMatch[[#Headers],[Home_Group_Number]],lkupGroupGame[#Headers],0))</f>
        <v>3</v>
      </c>
      <c r="E22" s="53">
        <f>INDEX(lkupGroupGame[],MATCH(tblGroupMatch[[#This Row],[Euro_Match_Number]],lkupGroupGame[Euro_Match_Number],0),MATCH(tblGroupMatch[[#Headers],[Away_Group_Number]],lkupGroupGame[#Headers],0))</f>
        <v>1</v>
      </c>
      <c r="F22" s="53">
        <f>INDEX(lkupTeam[],MATCH(tblGroupMatch[[#This Row],[Group_Code]]&amp;tblGroupMatch[[#This Row],[Home_Group_Number]],lkupTeam[Team_Code],0),MATCH("Team_Number",lkupTeam[#Headers],0))</f>
        <v>11</v>
      </c>
      <c r="G22" s="53">
        <f>INDEX(lkupTeam[],MATCH(tblGroupMatch[[#This Row],[Group_Code]]&amp;tblGroupMatch[[#This Row],[Away_Group_Number]],lkupTeam[Team_Code],0),MATCH("Team_Number",lkupTeam[#Headers],0))</f>
        <v>9</v>
      </c>
      <c r="H22" s="53" t="str">
        <f>tblGroupMatch[[#This Row],[Group_Code]]&amp;MIN(tblGroupMatch[[#This Row],[Home_Group_Number]:[Away_Group_Number]])&amp;MAX(tblGroupMatch[[#This Row],[Home_Group_Number]:[Away_Group_Number]])</f>
        <v>C13</v>
      </c>
      <c r="I22" s="53">
        <f>INDEX(lkupGroupGame[],MATCH(tblGroupMatch[[#This Row],[Euro_Match_Number]],lkupGroupGame[Euro_Match_Number],0),MATCH(tblGroupMatch[[#Headers],[Match_Date]],lkupGroupGame[#Headers],0))</f>
        <v>44364</v>
      </c>
      <c r="J22" s="53">
        <f>INDEX(lkupGroupGame[],MATCH(tblGroupMatch[[#This Row],[Euro_Match_Number]],lkupGroupGame[Euro_Match_Number],0),MATCH(tblGroupMatch[[#Headers],[Match_Time_UK]],lkupGroupGame[#Headers],0))</f>
        <v>0.83333333333333337</v>
      </c>
      <c r="K22" s="53">
        <f>INDEX(lkupGroupGame[],MATCH(tblGroupMatch[[#This Row],[Euro_Match_Number]],lkupGroupGame[Euro_Match_Number],0),MATCH(tblGroupMatch[[#Headers],[Venue_Number]],lkupGroupGame[#Headers],0))</f>
        <v>9</v>
      </c>
      <c r="L22" s="53" t="str">
        <f>INDEX(lkupGroupGame[],MATCH(tblGroupMatch[[#This Row],[Euro_Match_Number]],lkupGroupGame[Euro_Match_Number],0),MATCH(tblGroupMatch[[#Headers],[TV_Station]],lkupGroupGame[#Headers],0))</f>
        <v>BBC</v>
      </c>
      <c r="M22" s="53" t="b">
        <f>AND(LEN(tblGroupMatch[[#This Row],[Team A Goals]])&gt;0,LEN(tblGroupMatch[[#This Row],[Team B Goals]])&gt;0,LEN(tblGroupMatch[[#This Row],[Team A YCs]])&gt;0,LEN(tblGroupMatch[[#This Row],[Team A RCs]])&gt;0,LEN(tblGroupMatch[[#This Row],[Team B Ycs]])&gt;0,LEN(tblGroupMatch[[#This Row],[Team B RCs]])&gt;0)</f>
        <v>0</v>
      </c>
      <c r="N22" s="53" t="b">
        <f>AND(tblGroupMatch[[#This Row],[Is_Complete]],OR(tblGroupMatch[[#This Row],[Team A Goals]]&gt;tblGroupMatch[[#This Row],[Team B Goals]],tblGroupMatch[[#This Row],[Team B Goals]]&gt;tblGroupMatch[[#This Row],[Team A Goals]]))</f>
        <v>0</v>
      </c>
      <c r="O22" s="53" t="str">
        <f>IF(tblGroupMatch[[#This Row],[Is_Complete]],IF(NOT(tblGroupMatch[[#This Row],[Is_Win]]),1,IF(tblGroupMatch[[#This Row],[Team A Goals]]&gt;tblGroupMatch[[#This Row],[Team B Goals]],3,0)),"")</f>
        <v/>
      </c>
      <c r="P22" s="53" t="str">
        <f>IF(tblGroupMatch[[#This Row],[Is_Complete]],IF(NOT(tblGroupMatch[[#This Row],[Is_Win]]),1,IF(tblGroupMatch[[#This Row],[Home_Points]]=0,3,0)),"")</f>
        <v/>
      </c>
      <c r="Q22" s="99">
        <f>tblGroupMatch[[#This Row],[Euro_Match_Number]]</f>
        <v>17</v>
      </c>
      <c r="R22" s="99" t="str">
        <f>tblGroupMatch[[#This Row],[Group_Code]]</f>
        <v>C</v>
      </c>
      <c r="S22" s="100">
        <f>SUM(tblGroupMatch[[#This Row],[Match_Date]],tblGroupMatch[[#This Row],[Match_Time_UK]])</f>
        <v>44364.833333333336</v>
      </c>
      <c r="T22" s="99" t="str">
        <f>INDEX(lkupVenue[],MATCH(tblGroupMatch[[#This Row],[Venue_Number]],lkupVenue[Venue_Number],0),MATCH("Venue_Short",lkupVenue[#Headers],0))</f>
        <v>Johan Cruyff Arena (NET)</v>
      </c>
      <c r="U22" s="99" t="str">
        <f>INDEX(lkupTeam[],MATCH(tblGroupMatch[[#This Row],[Home_Team_Number]],lkupTeam[Team_Number],0),MATCH("Team",lkupTeam[#Headers],0))</f>
        <v>Netherlands</v>
      </c>
      <c r="V22" s="101"/>
      <c r="W22" s="101"/>
      <c r="X22" s="101"/>
      <c r="Y22" s="102"/>
      <c r="Z22" s="99" t="str">
        <f>INDEX(lkupTeam[],MATCH(tblGroupMatch[[#This Row],[Away_Team_Number]],lkupTeam[Team_Number],0),MATCH("Team",lkupTeam[#Headers],0))</f>
        <v>Austria</v>
      </c>
      <c r="AA22" s="101"/>
      <c r="AB22" s="101"/>
      <c r="AC22" s="101"/>
      <c r="AD22" s="102"/>
    </row>
    <row r="23" spans="2:30" x14ac:dyDescent="0.25">
      <c r="B23" s="54">
        <v>21</v>
      </c>
      <c r="C23" s="53" t="str">
        <f>INDEX(lkupGroupGame[],MATCH(tblGroupMatch[[#This Row],[Euro_Match_Number]],lkupGroupGame[Euro_Match_Number],0),MATCH(tblGroupMatch[[#Headers],[Group_Code]],lkupGroupGame[#Headers],0))</f>
        <v>E</v>
      </c>
      <c r="D23" s="53">
        <f>INDEX(lkupGroupGame[],MATCH(tblGroupMatch[[#This Row],[Euro_Match_Number]],lkupGroupGame[Euro_Match_Number],0),MATCH(tblGroupMatch[[#Headers],[Home_Group_Number]],lkupGroupGame[#Headers],0))</f>
        <v>4</v>
      </c>
      <c r="E23" s="53">
        <f>INDEX(lkupGroupGame[],MATCH(tblGroupMatch[[#This Row],[Euro_Match_Number]],lkupGroupGame[Euro_Match_Number],0),MATCH(tblGroupMatch[[#Headers],[Away_Group_Number]],lkupGroupGame[#Headers],0))</f>
        <v>2</v>
      </c>
      <c r="F23" s="53">
        <f>INDEX(lkupTeam[],MATCH(tblGroupMatch[[#This Row],[Group_Code]]&amp;tblGroupMatch[[#This Row],[Home_Group_Number]],lkupTeam[Team_Code],0),MATCH("Team_Number",lkupTeam[#Headers],0))</f>
        <v>20</v>
      </c>
      <c r="G23" s="53">
        <f>INDEX(lkupTeam[],MATCH(tblGroupMatch[[#This Row],[Group_Code]]&amp;tblGroupMatch[[#This Row],[Away_Group_Number]],lkupTeam[Team_Code],0),MATCH("Team_Number",lkupTeam[#Headers],0))</f>
        <v>18</v>
      </c>
      <c r="H23" s="53" t="str">
        <f>tblGroupMatch[[#This Row],[Group_Code]]&amp;MIN(tblGroupMatch[[#This Row],[Home_Group_Number]:[Away_Group_Number]])&amp;MAX(tblGroupMatch[[#This Row],[Home_Group_Number]:[Away_Group_Number]])</f>
        <v>E24</v>
      </c>
      <c r="I23" s="53">
        <f>INDEX(lkupGroupGame[],MATCH(tblGroupMatch[[#This Row],[Euro_Match_Number]],lkupGroupGame[Euro_Match_Number],0),MATCH(tblGroupMatch[[#Headers],[Match_Date]],lkupGroupGame[#Headers],0))</f>
        <v>44365</v>
      </c>
      <c r="J23" s="53">
        <f>INDEX(lkupGroupGame[],MATCH(tblGroupMatch[[#This Row],[Euro_Match_Number]],lkupGroupGame[Euro_Match_Number],0),MATCH(tblGroupMatch[[#Headers],[Match_Time_UK]],lkupGroupGame[#Headers],0))</f>
        <v>0.58333333333333337</v>
      </c>
      <c r="K23" s="53">
        <f>INDEX(lkupGroupGame[],MATCH(tblGroupMatch[[#This Row],[Euro_Match_Number]],lkupGroupGame[Euro_Match_Number],0),MATCH(tblGroupMatch[[#Headers],[Venue_Number]],lkupGroupGame[#Headers],0))</f>
        <v>5</v>
      </c>
      <c r="L23" s="53" t="str">
        <f>INDEX(lkupGroupGame[],MATCH(tblGroupMatch[[#This Row],[Euro_Match_Number]],lkupGroupGame[Euro_Match_Number],0),MATCH(tblGroupMatch[[#Headers],[TV_Station]],lkupGroupGame[#Headers],0))</f>
        <v>BBC</v>
      </c>
      <c r="M23" s="53" t="b">
        <f>AND(LEN(tblGroupMatch[[#This Row],[Team A Goals]])&gt;0,LEN(tblGroupMatch[[#This Row],[Team B Goals]])&gt;0,LEN(tblGroupMatch[[#This Row],[Team A YCs]])&gt;0,LEN(tblGroupMatch[[#This Row],[Team A RCs]])&gt;0,LEN(tblGroupMatch[[#This Row],[Team B Ycs]])&gt;0,LEN(tblGroupMatch[[#This Row],[Team B RCs]])&gt;0)</f>
        <v>0</v>
      </c>
      <c r="N23" s="53" t="b">
        <f>AND(tblGroupMatch[[#This Row],[Is_Complete]],OR(tblGroupMatch[[#This Row],[Team A Goals]]&gt;tblGroupMatch[[#This Row],[Team B Goals]],tblGroupMatch[[#This Row],[Team B Goals]]&gt;tblGroupMatch[[#This Row],[Team A Goals]]))</f>
        <v>0</v>
      </c>
      <c r="O23" s="53" t="str">
        <f>IF(tblGroupMatch[[#This Row],[Is_Complete]],IF(NOT(tblGroupMatch[[#This Row],[Is_Win]]),1,IF(tblGroupMatch[[#This Row],[Team A Goals]]&gt;tblGroupMatch[[#This Row],[Team B Goals]],3,0)),"")</f>
        <v/>
      </c>
      <c r="P23" s="53" t="str">
        <f>IF(tblGroupMatch[[#This Row],[Is_Complete]],IF(NOT(tblGroupMatch[[#This Row],[Is_Win]]),1,IF(tblGroupMatch[[#This Row],[Home_Points]]=0,3,0)),"")</f>
        <v/>
      </c>
      <c r="Q23" s="99">
        <f>tblGroupMatch[[#This Row],[Euro_Match_Number]]</f>
        <v>21</v>
      </c>
      <c r="R23" s="99" t="str">
        <f>tblGroupMatch[[#This Row],[Group_Code]]</f>
        <v>E</v>
      </c>
      <c r="S23" s="100">
        <f>SUM(tblGroupMatch[[#This Row],[Match_Date]],tblGroupMatch[[#This Row],[Match_Time_UK]])</f>
        <v>44365.583333333336</v>
      </c>
      <c r="T23" s="99" t="str">
        <f>INDEX(lkupVenue[],MATCH(tblGroupMatch[[#This Row],[Venue_Number]],lkupVenue[Venue_Number],0),MATCH("Venue_Short",lkupVenue[#Headers],0))</f>
        <v>Krestovsky Stadium (RUS)</v>
      </c>
      <c r="U23" s="99" t="str">
        <f>INDEX(lkupTeam[],MATCH(tblGroupMatch[[#This Row],[Home_Team_Number]],lkupTeam[Team_Number],0),MATCH("Team",lkupTeam[#Headers],0))</f>
        <v>Sweden</v>
      </c>
      <c r="V23" s="101"/>
      <c r="W23" s="101"/>
      <c r="X23" s="101"/>
      <c r="Y23" s="102"/>
      <c r="Z23" s="99" t="str">
        <f>INDEX(lkupTeam[],MATCH(tblGroupMatch[[#This Row],[Away_Team_Number]],lkupTeam[Team_Number],0),MATCH("Team",lkupTeam[#Headers],0))</f>
        <v>Slovakia</v>
      </c>
      <c r="AA23" s="101"/>
      <c r="AB23" s="101"/>
      <c r="AC23" s="101"/>
      <c r="AD23" s="102"/>
    </row>
    <row r="24" spans="2:30" x14ac:dyDescent="0.25">
      <c r="B24" s="54">
        <v>19</v>
      </c>
      <c r="C24" s="53" t="str">
        <f>INDEX(lkupGroupGame[],MATCH(tblGroupMatch[[#This Row],[Euro_Match_Number]],lkupGroupGame[Euro_Match_Number],0),MATCH(tblGroupMatch[[#Headers],[Group_Code]],lkupGroupGame[#Headers],0))</f>
        <v>D</v>
      </c>
      <c r="D24" s="53">
        <f>INDEX(lkupGroupGame[],MATCH(tblGroupMatch[[#This Row],[Euro_Match_Number]],lkupGroupGame[Euro_Match_Number],0),MATCH(tblGroupMatch[[#Headers],[Home_Group_Number]],lkupGroupGame[#Headers],0))</f>
        <v>2</v>
      </c>
      <c r="E24" s="53">
        <f>INDEX(lkupGroupGame[],MATCH(tblGroupMatch[[#This Row],[Euro_Match_Number]],lkupGroupGame[Euro_Match_Number],0),MATCH(tblGroupMatch[[#Headers],[Away_Group_Number]],lkupGroupGame[#Headers],0))</f>
        <v>4</v>
      </c>
      <c r="F24" s="53">
        <f>INDEX(lkupTeam[],MATCH(tblGroupMatch[[#This Row],[Group_Code]]&amp;tblGroupMatch[[#This Row],[Home_Group_Number]],lkupTeam[Team_Code],0),MATCH("Team_Number",lkupTeam[#Headers],0))</f>
        <v>14</v>
      </c>
      <c r="G24" s="53">
        <f>INDEX(lkupTeam[],MATCH(tblGroupMatch[[#This Row],[Group_Code]]&amp;tblGroupMatch[[#This Row],[Away_Group_Number]],lkupTeam[Team_Code],0),MATCH("Team_Number",lkupTeam[#Headers],0))</f>
        <v>16</v>
      </c>
      <c r="H24" s="53" t="str">
        <f>tblGroupMatch[[#This Row],[Group_Code]]&amp;MIN(tblGroupMatch[[#This Row],[Home_Group_Number]:[Away_Group_Number]])&amp;MAX(tblGroupMatch[[#This Row],[Home_Group_Number]:[Away_Group_Number]])</f>
        <v>D24</v>
      </c>
      <c r="I24" s="53">
        <f>INDEX(lkupGroupGame[],MATCH(tblGroupMatch[[#This Row],[Euro_Match_Number]],lkupGroupGame[Euro_Match_Number],0),MATCH(tblGroupMatch[[#Headers],[Match_Date]],lkupGroupGame[#Headers],0))</f>
        <v>44365</v>
      </c>
      <c r="J24" s="53">
        <f>INDEX(lkupGroupGame[],MATCH(tblGroupMatch[[#This Row],[Euro_Match_Number]],lkupGroupGame[Euro_Match_Number],0),MATCH(tblGroupMatch[[#Headers],[Match_Time_UK]],lkupGroupGame[#Headers],0))</f>
        <v>0.70833333333333337</v>
      </c>
      <c r="K24" s="53">
        <f>INDEX(lkupGroupGame[],MATCH(tblGroupMatch[[#This Row],[Euro_Match_Number]],lkupGroupGame[Euro_Match_Number],0),MATCH(tblGroupMatch[[#Headers],[Venue_Number]],lkupGroupGame[#Headers],0))</f>
        <v>10</v>
      </c>
      <c r="L24" s="53" t="str">
        <f>INDEX(lkupGroupGame[],MATCH(tblGroupMatch[[#This Row],[Euro_Match_Number]],lkupGroupGame[Euro_Match_Number],0),MATCH(tblGroupMatch[[#Headers],[TV_Station]],lkupGroupGame[#Headers],0))</f>
        <v>BBC</v>
      </c>
      <c r="M24" s="53" t="b">
        <f>AND(LEN(tblGroupMatch[[#This Row],[Team A Goals]])&gt;0,LEN(tblGroupMatch[[#This Row],[Team B Goals]])&gt;0,LEN(tblGroupMatch[[#This Row],[Team A YCs]])&gt;0,LEN(tblGroupMatch[[#This Row],[Team A RCs]])&gt;0,LEN(tblGroupMatch[[#This Row],[Team B Ycs]])&gt;0,LEN(tblGroupMatch[[#This Row],[Team B RCs]])&gt;0)</f>
        <v>0</v>
      </c>
      <c r="N24" s="53" t="b">
        <f>AND(tblGroupMatch[[#This Row],[Is_Complete]],OR(tblGroupMatch[[#This Row],[Team A Goals]]&gt;tblGroupMatch[[#This Row],[Team B Goals]],tblGroupMatch[[#This Row],[Team B Goals]]&gt;tblGroupMatch[[#This Row],[Team A Goals]]))</f>
        <v>0</v>
      </c>
      <c r="O24" s="53" t="str">
        <f>IF(tblGroupMatch[[#This Row],[Is_Complete]],IF(NOT(tblGroupMatch[[#This Row],[Is_Win]]),1,IF(tblGroupMatch[[#This Row],[Team A Goals]]&gt;tblGroupMatch[[#This Row],[Team B Goals]],3,0)),"")</f>
        <v/>
      </c>
      <c r="P24" s="53" t="str">
        <f>IF(tblGroupMatch[[#This Row],[Is_Complete]],IF(NOT(tblGroupMatch[[#This Row],[Is_Win]]),1,IF(tblGroupMatch[[#This Row],[Home_Points]]=0,3,0)),"")</f>
        <v/>
      </c>
      <c r="Q24" s="99">
        <f>tblGroupMatch[[#This Row],[Euro_Match_Number]]</f>
        <v>19</v>
      </c>
      <c r="R24" s="99" t="str">
        <f>tblGroupMatch[[#This Row],[Group_Code]]</f>
        <v>D</v>
      </c>
      <c r="S24" s="100">
        <f>SUM(tblGroupMatch[[#This Row],[Match_Date]],tblGroupMatch[[#This Row],[Match_Time_UK]])</f>
        <v>44365.708333333336</v>
      </c>
      <c r="T24" s="99" t="str">
        <f>INDEX(lkupVenue[],MATCH(tblGroupMatch[[#This Row],[Venue_Number]],lkupVenue[Venue_Number],0),MATCH("Venue_Short",lkupVenue[#Headers],0))</f>
        <v>Hampden Park (SCO)</v>
      </c>
      <c r="U24" s="99" t="str">
        <f>INDEX(lkupTeam[],MATCH(tblGroupMatch[[#This Row],[Home_Team_Number]],lkupTeam[Team_Number],0),MATCH("Team",lkupTeam[#Headers],0))</f>
        <v>Croatia</v>
      </c>
      <c r="V24" s="101"/>
      <c r="W24" s="101"/>
      <c r="X24" s="101"/>
      <c r="Y24" s="102"/>
      <c r="Z24" s="99" t="str">
        <f>INDEX(lkupTeam[],MATCH(tblGroupMatch[[#This Row],[Away_Team_Number]],lkupTeam[Team_Number],0),MATCH("Team",lkupTeam[#Headers],0))</f>
        <v>Czech Republic</v>
      </c>
      <c r="AA24" s="101"/>
      <c r="AB24" s="101"/>
      <c r="AC24" s="101"/>
      <c r="AD24" s="102"/>
    </row>
    <row r="25" spans="2:30" x14ac:dyDescent="0.25">
      <c r="B25" s="54">
        <v>20</v>
      </c>
      <c r="C25" s="53" t="str">
        <f>INDEX(lkupGroupGame[],MATCH(tblGroupMatch[[#This Row],[Euro_Match_Number]],lkupGroupGame[Euro_Match_Number],0),MATCH(tblGroupMatch[[#Headers],[Group_Code]],lkupGroupGame[#Headers],0))</f>
        <v>D</v>
      </c>
      <c r="D25" s="53">
        <f>INDEX(lkupGroupGame[],MATCH(tblGroupMatch[[#This Row],[Euro_Match_Number]],lkupGroupGame[Euro_Match_Number],0),MATCH(tblGroupMatch[[#Headers],[Home_Group_Number]],lkupGroupGame[#Headers],0))</f>
        <v>1</v>
      </c>
      <c r="E25" s="53">
        <f>INDEX(lkupGroupGame[],MATCH(tblGroupMatch[[#This Row],[Euro_Match_Number]],lkupGroupGame[Euro_Match_Number],0),MATCH(tblGroupMatch[[#Headers],[Away_Group_Number]],lkupGroupGame[#Headers],0))</f>
        <v>3</v>
      </c>
      <c r="F25" s="53">
        <f>INDEX(lkupTeam[],MATCH(tblGroupMatch[[#This Row],[Group_Code]]&amp;tblGroupMatch[[#This Row],[Home_Group_Number]],lkupTeam[Team_Code],0),MATCH("Team_Number",lkupTeam[#Headers],0))</f>
        <v>13</v>
      </c>
      <c r="G25" s="53">
        <f>INDEX(lkupTeam[],MATCH(tblGroupMatch[[#This Row],[Group_Code]]&amp;tblGroupMatch[[#This Row],[Away_Group_Number]],lkupTeam[Team_Code],0),MATCH("Team_Number",lkupTeam[#Headers],0))</f>
        <v>15</v>
      </c>
      <c r="H25" s="53" t="str">
        <f>tblGroupMatch[[#This Row],[Group_Code]]&amp;MIN(tblGroupMatch[[#This Row],[Home_Group_Number]:[Away_Group_Number]])&amp;MAX(tblGroupMatch[[#This Row],[Home_Group_Number]:[Away_Group_Number]])</f>
        <v>D13</v>
      </c>
      <c r="I25" s="53">
        <f>INDEX(lkupGroupGame[],MATCH(tblGroupMatch[[#This Row],[Euro_Match_Number]],lkupGroupGame[Euro_Match_Number],0),MATCH(tblGroupMatch[[#Headers],[Match_Date]],lkupGroupGame[#Headers],0))</f>
        <v>44365</v>
      </c>
      <c r="J25" s="53">
        <f>INDEX(lkupGroupGame[],MATCH(tblGroupMatch[[#This Row],[Euro_Match_Number]],lkupGroupGame[Euro_Match_Number],0),MATCH(tblGroupMatch[[#Headers],[Match_Time_UK]],lkupGroupGame[#Headers],0))</f>
        <v>0.83333333333333337</v>
      </c>
      <c r="K25" s="53">
        <f>INDEX(lkupGroupGame[],MATCH(tblGroupMatch[[#This Row],[Euro_Match_Number]],lkupGroupGame[Euro_Match_Number],0),MATCH(tblGroupMatch[[#Headers],[Venue_Number]],lkupGroupGame[#Headers],0))</f>
        <v>1</v>
      </c>
      <c r="L25" s="53" t="str">
        <f>INDEX(lkupGroupGame[],MATCH(tblGroupMatch[[#This Row],[Euro_Match_Number]],lkupGroupGame[Euro_Match_Number],0),MATCH(tblGroupMatch[[#Headers],[TV_Station]],lkupGroupGame[#Headers],0))</f>
        <v>iTV</v>
      </c>
      <c r="M25" s="53" t="b">
        <f>AND(LEN(tblGroupMatch[[#This Row],[Team A Goals]])&gt;0,LEN(tblGroupMatch[[#This Row],[Team B Goals]])&gt;0,LEN(tblGroupMatch[[#This Row],[Team A YCs]])&gt;0,LEN(tblGroupMatch[[#This Row],[Team A RCs]])&gt;0,LEN(tblGroupMatch[[#This Row],[Team B Ycs]])&gt;0,LEN(tblGroupMatch[[#This Row],[Team B RCs]])&gt;0)</f>
        <v>0</v>
      </c>
      <c r="N25" s="53" t="b">
        <f>AND(tblGroupMatch[[#This Row],[Is_Complete]],OR(tblGroupMatch[[#This Row],[Team A Goals]]&gt;tblGroupMatch[[#This Row],[Team B Goals]],tblGroupMatch[[#This Row],[Team B Goals]]&gt;tblGroupMatch[[#This Row],[Team A Goals]]))</f>
        <v>0</v>
      </c>
      <c r="O25" s="53" t="str">
        <f>IF(tblGroupMatch[[#This Row],[Is_Complete]],IF(NOT(tblGroupMatch[[#This Row],[Is_Win]]),1,IF(tblGroupMatch[[#This Row],[Team A Goals]]&gt;tblGroupMatch[[#This Row],[Team B Goals]],3,0)),"")</f>
        <v/>
      </c>
      <c r="P25" s="53" t="str">
        <f>IF(tblGroupMatch[[#This Row],[Is_Complete]],IF(NOT(tblGroupMatch[[#This Row],[Is_Win]]),1,IF(tblGroupMatch[[#This Row],[Home_Points]]=0,3,0)),"")</f>
        <v/>
      </c>
      <c r="Q25" s="99">
        <f>tblGroupMatch[[#This Row],[Euro_Match_Number]]</f>
        <v>20</v>
      </c>
      <c r="R25" s="99" t="str">
        <f>tblGroupMatch[[#This Row],[Group_Code]]</f>
        <v>D</v>
      </c>
      <c r="S25" s="100">
        <f>SUM(tblGroupMatch[[#This Row],[Match_Date]],tblGroupMatch[[#This Row],[Match_Time_UK]])</f>
        <v>44365.833333333336</v>
      </c>
      <c r="T25" s="99" t="str">
        <f>INDEX(lkupVenue[],MATCH(tblGroupMatch[[#This Row],[Venue_Number]],lkupVenue[Venue_Number],0),MATCH("Venue_Short",lkupVenue[#Headers],0))</f>
        <v>Wembley Stadium (ENG)</v>
      </c>
      <c r="U25" s="99" t="str">
        <f>INDEX(lkupTeam[],MATCH(tblGroupMatch[[#This Row],[Home_Team_Number]],lkupTeam[Team_Number],0),MATCH("Team",lkupTeam[#Headers],0))</f>
        <v>England</v>
      </c>
      <c r="V25" s="101"/>
      <c r="W25" s="101"/>
      <c r="X25" s="101"/>
      <c r="Y25" s="102"/>
      <c r="Z25" s="99" t="str">
        <f>INDEX(lkupTeam[],MATCH(tblGroupMatch[[#This Row],[Away_Team_Number]],lkupTeam[Team_Number],0),MATCH("Team",lkupTeam[#Headers],0))</f>
        <v>Scotland</v>
      </c>
      <c r="AA25" s="101"/>
      <c r="AB25" s="101"/>
      <c r="AC25" s="101"/>
      <c r="AD25" s="102"/>
    </row>
    <row r="26" spans="2:30" x14ac:dyDescent="0.25">
      <c r="B26" s="54">
        <v>23</v>
      </c>
      <c r="C26" s="53" t="str">
        <f>INDEX(lkupGroupGame[],MATCH(tblGroupMatch[[#This Row],[Euro_Match_Number]],lkupGroupGame[Euro_Match_Number],0),MATCH(tblGroupMatch[[#Headers],[Group_Code]],lkupGroupGame[#Headers],0))</f>
        <v>F</v>
      </c>
      <c r="D26" s="53">
        <f>INDEX(lkupGroupGame[],MATCH(tblGroupMatch[[#This Row],[Euro_Match_Number]],lkupGroupGame[Euro_Match_Number],0),MATCH(tblGroupMatch[[#Headers],[Home_Group_Number]],lkupGroupGame[#Headers],0))</f>
        <v>1</v>
      </c>
      <c r="E26" s="53">
        <f>INDEX(lkupGroupGame[],MATCH(tblGroupMatch[[#This Row],[Euro_Match_Number]],lkupGroupGame[Euro_Match_Number],0),MATCH(tblGroupMatch[[#Headers],[Away_Group_Number]],lkupGroupGame[#Headers],0))</f>
        <v>3</v>
      </c>
      <c r="F26" s="53">
        <f>INDEX(lkupTeam[],MATCH(tblGroupMatch[[#This Row],[Group_Code]]&amp;tblGroupMatch[[#This Row],[Home_Group_Number]],lkupTeam[Team_Code],0),MATCH("Team_Number",lkupTeam[#Headers],0))</f>
        <v>21</v>
      </c>
      <c r="G26" s="53">
        <f>INDEX(lkupTeam[],MATCH(tblGroupMatch[[#This Row],[Group_Code]]&amp;tblGroupMatch[[#This Row],[Away_Group_Number]],lkupTeam[Team_Code],0),MATCH("Team_Number",lkupTeam[#Headers],0))</f>
        <v>23</v>
      </c>
      <c r="H26" s="53" t="str">
        <f>tblGroupMatch[[#This Row],[Group_Code]]&amp;MIN(tblGroupMatch[[#This Row],[Home_Group_Number]:[Away_Group_Number]])&amp;MAX(tblGroupMatch[[#This Row],[Home_Group_Number]:[Away_Group_Number]])</f>
        <v>F13</v>
      </c>
      <c r="I26" s="53">
        <f>INDEX(lkupGroupGame[],MATCH(tblGroupMatch[[#This Row],[Euro_Match_Number]],lkupGroupGame[Euro_Match_Number],0),MATCH(tblGroupMatch[[#Headers],[Match_Date]],lkupGroupGame[#Headers],0))</f>
        <v>44366</v>
      </c>
      <c r="J26" s="53">
        <f>INDEX(lkupGroupGame[],MATCH(tblGroupMatch[[#This Row],[Euro_Match_Number]],lkupGroupGame[Euro_Match_Number],0),MATCH(tblGroupMatch[[#Headers],[Match_Time_UK]],lkupGroupGame[#Headers],0))</f>
        <v>0.58333333333333337</v>
      </c>
      <c r="K26" s="53">
        <f>INDEX(lkupGroupGame[],MATCH(tblGroupMatch[[#This Row],[Euro_Match_Number]],lkupGroupGame[Euro_Match_Number],0),MATCH(tblGroupMatch[[#Headers],[Venue_Number]],lkupGroupGame[#Headers],0))</f>
        <v>6</v>
      </c>
      <c r="L26" s="53" t="str">
        <f>INDEX(lkupGroupGame[],MATCH(tblGroupMatch[[#This Row],[Euro_Match_Number]],lkupGroupGame[Euro_Match_Number],0),MATCH(tblGroupMatch[[#Headers],[TV_Station]],lkupGroupGame[#Headers],0))</f>
        <v>BBC</v>
      </c>
      <c r="M26" s="53" t="b">
        <f>AND(LEN(tblGroupMatch[[#This Row],[Team A Goals]])&gt;0,LEN(tblGroupMatch[[#This Row],[Team B Goals]])&gt;0,LEN(tblGroupMatch[[#This Row],[Team A YCs]])&gt;0,LEN(tblGroupMatch[[#This Row],[Team A RCs]])&gt;0,LEN(tblGroupMatch[[#This Row],[Team B Ycs]])&gt;0,LEN(tblGroupMatch[[#This Row],[Team B RCs]])&gt;0)</f>
        <v>0</v>
      </c>
      <c r="N26" s="53" t="b">
        <f>AND(tblGroupMatch[[#This Row],[Is_Complete]],OR(tblGroupMatch[[#This Row],[Team A Goals]]&gt;tblGroupMatch[[#This Row],[Team B Goals]],tblGroupMatch[[#This Row],[Team B Goals]]&gt;tblGroupMatch[[#This Row],[Team A Goals]]))</f>
        <v>0</v>
      </c>
      <c r="O26" s="53" t="str">
        <f>IF(tblGroupMatch[[#This Row],[Is_Complete]],IF(NOT(tblGroupMatch[[#This Row],[Is_Win]]),1,IF(tblGroupMatch[[#This Row],[Team A Goals]]&gt;tblGroupMatch[[#This Row],[Team B Goals]],3,0)),"")</f>
        <v/>
      </c>
      <c r="P26" s="53" t="str">
        <f>IF(tblGroupMatch[[#This Row],[Is_Complete]],IF(NOT(tblGroupMatch[[#This Row],[Is_Win]]),1,IF(tblGroupMatch[[#This Row],[Home_Points]]=0,3,0)),"")</f>
        <v/>
      </c>
      <c r="Q26" s="99">
        <f>tblGroupMatch[[#This Row],[Euro_Match_Number]]</f>
        <v>23</v>
      </c>
      <c r="R26" s="99" t="str">
        <f>tblGroupMatch[[#This Row],[Group_Code]]</f>
        <v>F</v>
      </c>
      <c r="S26" s="100">
        <f>SUM(tblGroupMatch[[#This Row],[Match_Date]],tblGroupMatch[[#This Row],[Match_Time_UK]])</f>
        <v>44366.583333333336</v>
      </c>
      <c r="T26" s="99" t="str">
        <f>INDEX(lkupVenue[],MATCH(tblGroupMatch[[#This Row],[Venue_Number]],lkupVenue[Venue_Number],0),MATCH("Venue_Short",lkupVenue[#Headers],0))</f>
        <v>Puskas Arena (HUN)</v>
      </c>
      <c r="U26" s="99" t="str">
        <f>INDEX(lkupTeam[],MATCH(tblGroupMatch[[#This Row],[Home_Team_Number]],lkupTeam[Team_Number],0),MATCH("Team",lkupTeam[#Headers],0))</f>
        <v>Hungary</v>
      </c>
      <c r="V26" s="101"/>
      <c r="W26" s="101"/>
      <c r="X26" s="101"/>
      <c r="Y26" s="102"/>
      <c r="Z26" s="99" t="str">
        <f>INDEX(lkupTeam[],MATCH(tblGroupMatch[[#This Row],[Away_Team_Number]],lkupTeam[Team_Number],0),MATCH("Team",lkupTeam[#Headers],0))</f>
        <v>France</v>
      </c>
      <c r="AA26" s="101"/>
      <c r="AB26" s="101"/>
      <c r="AC26" s="101"/>
      <c r="AD26" s="102"/>
    </row>
    <row r="27" spans="2:30" x14ac:dyDescent="0.25">
      <c r="B27" s="54">
        <v>24</v>
      </c>
      <c r="C27" s="53" t="str">
        <f>INDEX(lkupGroupGame[],MATCH(tblGroupMatch[[#This Row],[Euro_Match_Number]],lkupGroupGame[Euro_Match_Number],0),MATCH(tblGroupMatch[[#Headers],[Group_Code]],lkupGroupGame[#Headers],0))</f>
        <v>F</v>
      </c>
      <c r="D27" s="53">
        <f>INDEX(lkupGroupGame[],MATCH(tblGroupMatch[[#This Row],[Euro_Match_Number]],lkupGroupGame[Euro_Match_Number],0),MATCH(tblGroupMatch[[#Headers],[Home_Group_Number]],lkupGroupGame[#Headers],0))</f>
        <v>2</v>
      </c>
      <c r="E27" s="53">
        <f>INDEX(lkupGroupGame[],MATCH(tblGroupMatch[[#This Row],[Euro_Match_Number]],lkupGroupGame[Euro_Match_Number],0),MATCH(tblGroupMatch[[#Headers],[Away_Group_Number]],lkupGroupGame[#Headers],0))</f>
        <v>4</v>
      </c>
      <c r="F27" s="53">
        <f>INDEX(lkupTeam[],MATCH(tblGroupMatch[[#This Row],[Group_Code]]&amp;tblGroupMatch[[#This Row],[Home_Group_Number]],lkupTeam[Team_Code],0),MATCH("Team_Number",lkupTeam[#Headers],0))</f>
        <v>22</v>
      </c>
      <c r="G27" s="53">
        <f>INDEX(lkupTeam[],MATCH(tblGroupMatch[[#This Row],[Group_Code]]&amp;tblGroupMatch[[#This Row],[Away_Group_Number]],lkupTeam[Team_Code],0),MATCH("Team_Number",lkupTeam[#Headers],0))</f>
        <v>24</v>
      </c>
      <c r="H27" s="53" t="str">
        <f>tblGroupMatch[[#This Row],[Group_Code]]&amp;MIN(tblGroupMatch[[#This Row],[Home_Group_Number]:[Away_Group_Number]])&amp;MAX(tblGroupMatch[[#This Row],[Home_Group_Number]:[Away_Group_Number]])</f>
        <v>F24</v>
      </c>
      <c r="I27" s="53">
        <f>INDEX(lkupGroupGame[],MATCH(tblGroupMatch[[#This Row],[Euro_Match_Number]],lkupGroupGame[Euro_Match_Number],0),MATCH(tblGroupMatch[[#Headers],[Match_Date]],lkupGroupGame[#Headers],0))</f>
        <v>44366</v>
      </c>
      <c r="J27" s="53">
        <f>INDEX(lkupGroupGame[],MATCH(tblGroupMatch[[#This Row],[Euro_Match_Number]],lkupGroupGame[Euro_Match_Number],0),MATCH(tblGroupMatch[[#Headers],[Match_Time_UK]],lkupGroupGame[#Headers],0))</f>
        <v>0.70833333333333337</v>
      </c>
      <c r="K27" s="53">
        <f>INDEX(lkupGroupGame[],MATCH(tblGroupMatch[[#This Row],[Euro_Match_Number]],lkupGroupGame[Euro_Match_Number],0),MATCH(tblGroupMatch[[#Headers],[Venue_Number]],lkupGroupGame[#Headers],0))</f>
        <v>3</v>
      </c>
      <c r="L27" s="53" t="str">
        <f>INDEX(lkupGroupGame[],MATCH(tblGroupMatch[[#This Row],[Euro_Match_Number]],lkupGroupGame[Euro_Match_Number],0),MATCH(tblGroupMatch[[#Headers],[TV_Station]],lkupGroupGame[#Headers],0))</f>
        <v>iTV</v>
      </c>
      <c r="M27" s="53" t="b">
        <f>AND(LEN(tblGroupMatch[[#This Row],[Team A Goals]])&gt;0,LEN(tblGroupMatch[[#This Row],[Team B Goals]])&gt;0,LEN(tblGroupMatch[[#This Row],[Team A YCs]])&gt;0,LEN(tblGroupMatch[[#This Row],[Team A RCs]])&gt;0,LEN(tblGroupMatch[[#This Row],[Team B Ycs]])&gt;0,LEN(tblGroupMatch[[#This Row],[Team B RCs]])&gt;0)</f>
        <v>0</v>
      </c>
      <c r="N27" s="53" t="b">
        <f>AND(tblGroupMatch[[#This Row],[Is_Complete]],OR(tblGroupMatch[[#This Row],[Team A Goals]]&gt;tblGroupMatch[[#This Row],[Team B Goals]],tblGroupMatch[[#This Row],[Team B Goals]]&gt;tblGroupMatch[[#This Row],[Team A Goals]]))</f>
        <v>0</v>
      </c>
      <c r="O27" s="53" t="str">
        <f>IF(tblGroupMatch[[#This Row],[Is_Complete]],IF(NOT(tblGroupMatch[[#This Row],[Is_Win]]),1,IF(tblGroupMatch[[#This Row],[Team A Goals]]&gt;tblGroupMatch[[#This Row],[Team B Goals]],3,0)),"")</f>
        <v/>
      </c>
      <c r="P27" s="53" t="str">
        <f>IF(tblGroupMatch[[#This Row],[Is_Complete]],IF(NOT(tblGroupMatch[[#This Row],[Is_Win]]),1,IF(tblGroupMatch[[#This Row],[Home_Points]]=0,3,0)),"")</f>
        <v/>
      </c>
      <c r="Q27" s="99">
        <f>tblGroupMatch[[#This Row],[Euro_Match_Number]]</f>
        <v>24</v>
      </c>
      <c r="R27" s="99" t="str">
        <f>tblGroupMatch[[#This Row],[Group_Code]]</f>
        <v>F</v>
      </c>
      <c r="S27" s="100">
        <f>SUM(tblGroupMatch[[#This Row],[Match_Date]],tblGroupMatch[[#This Row],[Match_Time_UK]])</f>
        <v>44366.708333333336</v>
      </c>
      <c r="T27" s="99" t="str">
        <f>INDEX(lkupVenue[],MATCH(tblGroupMatch[[#This Row],[Venue_Number]],lkupVenue[Venue_Number],0),MATCH("Venue_Short",lkupVenue[#Headers],0))</f>
        <v>Allianz Arena (GER)</v>
      </c>
      <c r="U27" s="99" t="str">
        <f>INDEX(lkupTeam[],MATCH(tblGroupMatch[[#This Row],[Home_Team_Number]],lkupTeam[Team_Number],0),MATCH("Team",lkupTeam[#Headers],0))</f>
        <v>Portugal</v>
      </c>
      <c r="V27" s="101"/>
      <c r="W27" s="101"/>
      <c r="X27" s="101"/>
      <c r="Y27" s="102"/>
      <c r="Z27" s="99" t="str">
        <f>INDEX(lkupTeam[],MATCH(tblGroupMatch[[#This Row],[Away_Team_Number]],lkupTeam[Team_Number],0),MATCH("Team",lkupTeam[#Headers],0))</f>
        <v>Germany</v>
      </c>
      <c r="AA27" s="101"/>
      <c r="AB27" s="101"/>
      <c r="AC27" s="101"/>
      <c r="AD27" s="102"/>
    </row>
    <row r="28" spans="2:30" x14ac:dyDescent="0.25">
      <c r="B28" s="54">
        <v>22</v>
      </c>
      <c r="C28" s="53" t="str">
        <f>INDEX(lkupGroupGame[],MATCH(tblGroupMatch[[#This Row],[Euro_Match_Number]],lkupGroupGame[Euro_Match_Number],0),MATCH(tblGroupMatch[[#Headers],[Group_Code]],lkupGroupGame[#Headers],0))</f>
        <v>E</v>
      </c>
      <c r="D28" s="53">
        <f>INDEX(lkupGroupGame[],MATCH(tblGroupMatch[[#This Row],[Euro_Match_Number]],lkupGroupGame[Euro_Match_Number],0),MATCH(tblGroupMatch[[#Headers],[Home_Group_Number]],lkupGroupGame[#Headers],0))</f>
        <v>3</v>
      </c>
      <c r="E28" s="53">
        <f>INDEX(lkupGroupGame[],MATCH(tblGroupMatch[[#This Row],[Euro_Match_Number]],lkupGroupGame[Euro_Match_Number],0),MATCH(tblGroupMatch[[#Headers],[Away_Group_Number]],lkupGroupGame[#Headers],0))</f>
        <v>1</v>
      </c>
      <c r="F28" s="53">
        <f>INDEX(lkupTeam[],MATCH(tblGroupMatch[[#This Row],[Group_Code]]&amp;tblGroupMatch[[#This Row],[Home_Group_Number]],lkupTeam[Team_Code],0),MATCH("Team_Number",lkupTeam[#Headers],0))</f>
        <v>19</v>
      </c>
      <c r="G28" s="53">
        <f>INDEX(lkupTeam[],MATCH(tblGroupMatch[[#This Row],[Group_Code]]&amp;tblGroupMatch[[#This Row],[Away_Group_Number]],lkupTeam[Team_Code],0),MATCH("Team_Number",lkupTeam[#Headers],0))</f>
        <v>17</v>
      </c>
      <c r="H28" s="53" t="str">
        <f>tblGroupMatch[[#This Row],[Group_Code]]&amp;MIN(tblGroupMatch[[#This Row],[Home_Group_Number]:[Away_Group_Number]])&amp;MAX(tblGroupMatch[[#This Row],[Home_Group_Number]:[Away_Group_Number]])</f>
        <v>E13</v>
      </c>
      <c r="I28" s="53">
        <f>INDEX(lkupGroupGame[],MATCH(tblGroupMatch[[#This Row],[Euro_Match_Number]],lkupGroupGame[Euro_Match_Number],0),MATCH(tblGroupMatch[[#Headers],[Match_Date]],lkupGroupGame[#Headers],0))</f>
        <v>44366</v>
      </c>
      <c r="J28" s="53">
        <f>INDEX(lkupGroupGame[],MATCH(tblGroupMatch[[#This Row],[Euro_Match_Number]],lkupGroupGame[Euro_Match_Number],0),MATCH(tblGroupMatch[[#Headers],[Match_Time_UK]],lkupGroupGame[#Headers],0))</f>
        <v>0.83333333333333337</v>
      </c>
      <c r="K28" s="53">
        <f>INDEX(lkupGroupGame[],MATCH(tblGroupMatch[[#This Row],[Euro_Match_Number]],lkupGroupGame[Euro_Match_Number],0),MATCH(tblGroupMatch[[#Headers],[Venue_Number]],lkupGroupGame[#Headers],0))</f>
        <v>7</v>
      </c>
      <c r="L28" s="53" t="str">
        <f>INDEX(lkupGroupGame[],MATCH(tblGroupMatch[[#This Row],[Euro_Match_Number]],lkupGroupGame[Euro_Match_Number],0),MATCH(tblGroupMatch[[#Headers],[TV_Station]],lkupGroupGame[#Headers],0))</f>
        <v>BBC</v>
      </c>
      <c r="M28" s="53" t="b">
        <f>AND(LEN(tblGroupMatch[[#This Row],[Team A Goals]])&gt;0,LEN(tblGroupMatch[[#This Row],[Team B Goals]])&gt;0,LEN(tblGroupMatch[[#This Row],[Team A YCs]])&gt;0,LEN(tblGroupMatch[[#This Row],[Team A RCs]])&gt;0,LEN(tblGroupMatch[[#This Row],[Team B Ycs]])&gt;0,LEN(tblGroupMatch[[#This Row],[Team B RCs]])&gt;0)</f>
        <v>0</v>
      </c>
      <c r="N28" s="53" t="b">
        <f>AND(tblGroupMatch[[#This Row],[Is_Complete]],OR(tblGroupMatch[[#This Row],[Team A Goals]]&gt;tblGroupMatch[[#This Row],[Team B Goals]],tblGroupMatch[[#This Row],[Team B Goals]]&gt;tblGroupMatch[[#This Row],[Team A Goals]]))</f>
        <v>0</v>
      </c>
      <c r="O28" s="53" t="str">
        <f>IF(tblGroupMatch[[#This Row],[Is_Complete]],IF(NOT(tblGroupMatch[[#This Row],[Is_Win]]),1,IF(tblGroupMatch[[#This Row],[Team A Goals]]&gt;tblGroupMatch[[#This Row],[Team B Goals]],3,0)),"")</f>
        <v/>
      </c>
      <c r="P28" s="53" t="str">
        <f>IF(tblGroupMatch[[#This Row],[Is_Complete]],IF(NOT(tblGroupMatch[[#This Row],[Is_Win]]),1,IF(tblGroupMatch[[#This Row],[Home_Points]]=0,3,0)),"")</f>
        <v/>
      </c>
      <c r="Q28" s="99">
        <f>tblGroupMatch[[#This Row],[Euro_Match_Number]]</f>
        <v>22</v>
      </c>
      <c r="R28" s="99" t="str">
        <f>tblGroupMatch[[#This Row],[Group_Code]]</f>
        <v>E</v>
      </c>
      <c r="S28" s="100">
        <f>SUM(tblGroupMatch[[#This Row],[Match_Date]],tblGroupMatch[[#This Row],[Match_Time_UK]])</f>
        <v>44366.833333333336</v>
      </c>
      <c r="T28" s="99" t="str">
        <f>INDEX(lkupVenue[],MATCH(tblGroupMatch[[#This Row],[Venue_Number]],lkupVenue[Venue_Number],0),MATCH("Venue_Short",lkupVenue[#Headers],0))</f>
        <v>La Cartuja (SPA)</v>
      </c>
      <c r="U28" s="99" t="str">
        <f>INDEX(lkupTeam[],MATCH(tblGroupMatch[[#This Row],[Home_Team_Number]],lkupTeam[Team_Number],0),MATCH("Team",lkupTeam[#Headers],0))</f>
        <v>Spain</v>
      </c>
      <c r="V28" s="101"/>
      <c r="W28" s="101"/>
      <c r="X28" s="101"/>
      <c r="Y28" s="102"/>
      <c r="Z28" s="99" t="str">
        <f>INDEX(lkupTeam[],MATCH(tblGroupMatch[[#This Row],[Away_Team_Number]],lkupTeam[Team_Number],0),MATCH("Team",lkupTeam[#Headers],0))</f>
        <v>Poland</v>
      </c>
      <c r="AA28" s="101"/>
      <c r="AB28" s="101"/>
      <c r="AC28" s="101"/>
      <c r="AD28" s="102"/>
    </row>
    <row r="29" spans="2:30" x14ac:dyDescent="0.25">
      <c r="B29" s="54">
        <v>25</v>
      </c>
      <c r="C29" s="53" t="str">
        <f>INDEX(lkupGroupGame[],MATCH(tblGroupMatch[[#This Row],[Euro_Match_Number]],lkupGroupGame[Euro_Match_Number],0),MATCH(tblGroupMatch[[#Headers],[Group_Code]],lkupGroupGame[#Headers],0))</f>
        <v>A</v>
      </c>
      <c r="D29" s="53">
        <f>INDEX(lkupGroupGame[],MATCH(tblGroupMatch[[#This Row],[Euro_Match_Number]],lkupGroupGame[Euro_Match_Number],0),MATCH(tblGroupMatch[[#Headers],[Home_Group_Number]],lkupGroupGame[#Headers],0))</f>
        <v>4</v>
      </c>
      <c r="E29" s="53">
        <f>INDEX(lkupGroupGame[],MATCH(tblGroupMatch[[#This Row],[Euro_Match_Number]],lkupGroupGame[Euro_Match_Number],0),MATCH(tblGroupMatch[[#Headers],[Away_Group_Number]],lkupGroupGame[#Headers],0))</f>
        <v>1</v>
      </c>
      <c r="F29" s="53">
        <f>INDEX(lkupTeam[],MATCH(tblGroupMatch[[#This Row],[Group_Code]]&amp;tblGroupMatch[[#This Row],[Home_Group_Number]],lkupTeam[Team_Code],0),MATCH("Team_Number",lkupTeam[#Headers],0))</f>
        <v>4</v>
      </c>
      <c r="G29" s="53">
        <f>INDEX(lkupTeam[],MATCH(tblGroupMatch[[#This Row],[Group_Code]]&amp;tblGroupMatch[[#This Row],[Away_Group_Number]],lkupTeam[Team_Code],0),MATCH("Team_Number",lkupTeam[#Headers],0))</f>
        <v>1</v>
      </c>
      <c r="H29" s="53" t="str">
        <f>tblGroupMatch[[#This Row],[Group_Code]]&amp;MIN(tblGroupMatch[[#This Row],[Home_Group_Number]:[Away_Group_Number]])&amp;MAX(tblGroupMatch[[#This Row],[Home_Group_Number]:[Away_Group_Number]])</f>
        <v>A14</v>
      </c>
      <c r="I29" s="53">
        <f>INDEX(lkupGroupGame[],MATCH(tblGroupMatch[[#This Row],[Euro_Match_Number]],lkupGroupGame[Euro_Match_Number],0),MATCH(tblGroupMatch[[#Headers],[Match_Date]],lkupGroupGame[#Headers],0))</f>
        <v>44367</v>
      </c>
      <c r="J29" s="53">
        <f>INDEX(lkupGroupGame[],MATCH(tblGroupMatch[[#This Row],[Euro_Match_Number]],lkupGroupGame[Euro_Match_Number],0),MATCH(tblGroupMatch[[#Headers],[Match_Time_UK]],lkupGroupGame[#Headers],0))</f>
        <v>0.70833333333333337</v>
      </c>
      <c r="K29" s="53">
        <f>INDEX(lkupGroupGame[],MATCH(tblGroupMatch[[#This Row],[Euro_Match_Number]],lkupGroupGame[Euro_Match_Number],0),MATCH(tblGroupMatch[[#Headers],[Venue_Number]],lkupGroupGame[#Headers],0))</f>
        <v>4</v>
      </c>
      <c r="L29" s="53" t="str">
        <f>INDEX(lkupGroupGame[],MATCH(tblGroupMatch[[#This Row],[Euro_Match_Number]],lkupGroupGame[Euro_Match_Number],0),MATCH(tblGroupMatch[[#Headers],[TV_Station]],lkupGroupGame[#Headers],0))</f>
        <v>iTV</v>
      </c>
      <c r="M29" s="53" t="b">
        <f>AND(LEN(tblGroupMatch[[#This Row],[Team A Goals]])&gt;0,LEN(tblGroupMatch[[#This Row],[Team B Goals]])&gt;0,LEN(tblGroupMatch[[#This Row],[Team A YCs]])&gt;0,LEN(tblGroupMatch[[#This Row],[Team A RCs]])&gt;0,LEN(tblGroupMatch[[#This Row],[Team B Ycs]])&gt;0,LEN(tblGroupMatch[[#This Row],[Team B RCs]])&gt;0)</f>
        <v>0</v>
      </c>
      <c r="N29" s="53" t="b">
        <f>AND(tblGroupMatch[[#This Row],[Is_Complete]],OR(tblGroupMatch[[#This Row],[Team A Goals]]&gt;tblGroupMatch[[#This Row],[Team B Goals]],tblGroupMatch[[#This Row],[Team B Goals]]&gt;tblGroupMatch[[#This Row],[Team A Goals]]))</f>
        <v>0</v>
      </c>
      <c r="O29" s="53" t="str">
        <f>IF(tblGroupMatch[[#This Row],[Is_Complete]],IF(NOT(tblGroupMatch[[#This Row],[Is_Win]]),1,IF(tblGroupMatch[[#This Row],[Team A Goals]]&gt;tblGroupMatch[[#This Row],[Team B Goals]],3,0)),"")</f>
        <v/>
      </c>
      <c r="P29" s="53" t="str">
        <f>IF(tblGroupMatch[[#This Row],[Is_Complete]],IF(NOT(tblGroupMatch[[#This Row],[Is_Win]]),1,IF(tblGroupMatch[[#This Row],[Home_Points]]=0,3,0)),"")</f>
        <v/>
      </c>
      <c r="Q29" s="99">
        <f>tblGroupMatch[[#This Row],[Euro_Match_Number]]</f>
        <v>25</v>
      </c>
      <c r="R29" s="99" t="str">
        <f>tblGroupMatch[[#This Row],[Group_Code]]</f>
        <v>A</v>
      </c>
      <c r="S29" s="100">
        <f>SUM(tblGroupMatch[[#This Row],[Match_Date]],tblGroupMatch[[#This Row],[Match_Time_UK]])</f>
        <v>44367.708333333336</v>
      </c>
      <c r="T29" s="99" t="str">
        <f>INDEX(lkupVenue[],MATCH(tblGroupMatch[[#This Row],[Venue_Number]],lkupVenue[Venue_Number],0),MATCH("Venue_Short",lkupVenue[#Headers],0))</f>
        <v>Olympic Stadium (AZE)</v>
      </c>
      <c r="U29" s="99" t="str">
        <f>INDEX(lkupTeam[],MATCH(tblGroupMatch[[#This Row],[Home_Team_Number]],lkupTeam[Team_Number],0),MATCH("Team",lkupTeam[#Headers],0))</f>
        <v>Switzerland</v>
      </c>
      <c r="V29" s="101"/>
      <c r="W29" s="101"/>
      <c r="X29" s="101"/>
      <c r="Y29" s="101"/>
      <c r="Z29" s="99" t="str">
        <f>INDEX(lkupTeam[],MATCH(tblGroupMatch[[#This Row],[Away_Team_Number]],lkupTeam[Team_Number],0),MATCH("Team",lkupTeam[#Headers],0))</f>
        <v>Turkey</v>
      </c>
      <c r="AA29" s="101"/>
      <c r="AB29" s="101"/>
      <c r="AC29" s="101"/>
      <c r="AD29" s="101"/>
    </row>
    <row r="30" spans="2:30" x14ac:dyDescent="0.25">
      <c r="B30" s="54">
        <v>26</v>
      </c>
      <c r="C30" s="53" t="str">
        <f>INDEX(lkupGroupGame[],MATCH(tblGroupMatch[[#This Row],[Euro_Match_Number]],lkupGroupGame[Euro_Match_Number],0),MATCH(tblGroupMatch[[#Headers],[Group_Code]],lkupGroupGame[#Headers],0))</f>
        <v>A</v>
      </c>
      <c r="D30" s="53">
        <f>INDEX(lkupGroupGame[],MATCH(tblGroupMatch[[#This Row],[Euro_Match_Number]],lkupGroupGame[Euro_Match_Number],0),MATCH(tblGroupMatch[[#Headers],[Home_Group_Number]],lkupGroupGame[#Headers],0))</f>
        <v>2</v>
      </c>
      <c r="E30" s="53">
        <f>INDEX(lkupGroupGame[],MATCH(tblGroupMatch[[#This Row],[Euro_Match_Number]],lkupGroupGame[Euro_Match_Number],0),MATCH(tblGroupMatch[[#Headers],[Away_Group_Number]],lkupGroupGame[#Headers],0))</f>
        <v>3</v>
      </c>
      <c r="F30" s="53">
        <f>INDEX(lkupTeam[],MATCH(tblGroupMatch[[#This Row],[Group_Code]]&amp;tblGroupMatch[[#This Row],[Home_Group_Number]],lkupTeam[Team_Code],0),MATCH("Team_Number",lkupTeam[#Headers],0))</f>
        <v>2</v>
      </c>
      <c r="G30" s="53">
        <f>INDEX(lkupTeam[],MATCH(tblGroupMatch[[#This Row],[Group_Code]]&amp;tblGroupMatch[[#This Row],[Away_Group_Number]],lkupTeam[Team_Code],0),MATCH("Team_Number",lkupTeam[#Headers],0))</f>
        <v>3</v>
      </c>
      <c r="H30" s="53" t="str">
        <f>tblGroupMatch[[#This Row],[Group_Code]]&amp;MIN(tblGroupMatch[[#This Row],[Home_Group_Number]:[Away_Group_Number]])&amp;MAX(tblGroupMatch[[#This Row],[Home_Group_Number]:[Away_Group_Number]])</f>
        <v>A23</v>
      </c>
      <c r="I30" s="53">
        <f>INDEX(lkupGroupGame[],MATCH(tblGroupMatch[[#This Row],[Euro_Match_Number]],lkupGroupGame[Euro_Match_Number],0),MATCH(tblGroupMatch[[#Headers],[Match_Date]],lkupGroupGame[#Headers],0))</f>
        <v>44367</v>
      </c>
      <c r="J30" s="53">
        <f>INDEX(lkupGroupGame[],MATCH(tblGroupMatch[[#This Row],[Euro_Match_Number]],lkupGroupGame[Euro_Match_Number],0),MATCH(tblGroupMatch[[#Headers],[Match_Time_UK]],lkupGroupGame[#Headers],0))</f>
        <v>0.70833333333333337</v>
      </c>
      <c r="K30" s="53">
        <f>INDEX(lkupGroupGame[],MATCH(tblGroupMatch[[#This Row],[Euro_Match_Number]],lkupGroupGame[Euro_Match_Number],0),MATCH(tblGroupMatch[[#Headers],[Venue_Number]],lkupGroupGame[#Headers],0))</f>
        <v>2</v>
      </c>
      <c r="L30" s="53" t="str">
        <f>INDEX(lkupGroupGame[],MATCH(tblGroupMatch[[#This Row],[Euro_Match_Number]],lkupGroupGame[Euro_Match_Number],0),MATCH(tblGroupMatch[[#Headers],[TV_Station]],lkupGroupGame[#Headers],0))</f>
        <v>iTV</v>
      </c>
      <c r="M30" s="53" t="b">
        <f>AND(LEN(tblGroupMatch[[#This Row],[Team A Goals]])&gt;0,LEN(tblGroupMatch[[#This Row],[Team B Goals]])&gt;0,LEN(tblGroupMatch[[#This Row],[Team A YCs]])&gt;0,LEN(tblGroupMatch[[#This Row],[Team A RCs]])&gt;0,LEN(tblGroupMatch[[#This Row],[Team B Ycs]])&gt;0,LEN(tblGroupMatch[[#This Row],[Team B RCs]])&gt;0)</f>
        <v>0</v>
      </c>
      <c r="N30" s="53" t="b">
        <f>AND(tblGroupMatch[[#This Row],[Is_Complete]],OR(tblGroupMatch[[#This Row],[Team A Goals]]&gt;tblGroupMatch[[#This Row],[Team B Goals]],tblGroupMatch[[#This Row],[Team B Goals]]&gt;tblGroupMatch[[#This Row],[Team A Goals]]))</f>
        <v>0</v>
      </c>
      <c r="O30" s="53" t="str">
        <f>IF(tblGroupMatch[[#This Row],[Is_Complete]],IF(NOT(tblGroupMatch[[#This Row],[Is_Win]]),1,IF(tblGroupMatch[[#This Row],[Team A Goals]]&gt;tblGroupMatch[[#This Row],[Team B Goals]],3,0)),"")</f>
        <v/>
      </c>
      <c r="P30" s="53" t="str">
        <f>IF(tblGroupMatch[[#This Row],[Is_Complete]],IF(NOT(tblGroupMatch[[#This Row],[Is_Win]]),1,IF(tblGroupMatch[[#This Row],[Home_Points]]=0,3,0)),"")</f>
        <v/>
      </c>
      <c r="Q30" s="99">
        <f>tblGroupMatch[[#This Row],[Euro_Match_Number]]</f>
        <v>26</v>
      </c>
      <c r="R30" s="99" t="str">
        <f>tblGroupMatch[[#This Row],[Group_Code]]</f>
        <v>A</v>
      </c>
      <c r="S30" s="100">
        <f>SUM(tblGroupMatch[[#This Row],[Match_Date]],tblGroupMatch[[#This Row],[Match_Time_UK]])</f>
        <v>44367.708333333336</v>
      </c>
      <c r="T30" s="99" t="str">
        <f>INDEX(lkupVenue[],MATCH(tblGroupMatch[[#This Row],[Venue_Number]],lkupVenue[Venue_Number],0),MATCH("Venue_Short",lkupVenue[#Headers],0))</f>
        <v>Stadio Olimpico (ITA)</v>
      </c>
      <c r="U30" s="99" t="str">
        <f>INDEX(lkupTeam[],MATCH(tblGroupMatch[[#This Row],[Home_Team_Number]],lkupTeam[Team_Number],0),MATCH("Team",lkupTeam[#Headers],0))</f>
        <v>Italy</v>
      </c>
      <c r="V30" s="101"/>
      <c r="W30" s="101"/>
      <c r="X30" s="101"/>
      <c r="Y30" s="101"/>
      <c r="Z30" s="99" t="str">
        <f>INDEX(lkupTeam[],MATCH(tblGroupMatch[[#This Row],[Away_Team_Number]],lkupTeam[Team_Number],0),MATCH("Team",lkupTeam[#Headers],0))</f>
        <v>Wales</v>
      </c>
      <c r="AA30" s="101"/>
      <c r="AB30" s="101"/>
      <c r="AC30" s="101"/>
      <c r="AD30" s="101"/>
    </row>
    <row r="31" spans="2:30" x14ac:dyDescent="0.25">
      <c r="B31" s="54">
        <v>29</v>
      </c>
      <c r="C31" s="53" t="str">
        <f>INDEX(lkupGroupGame[],MATCH(tblGroupMatch[[#This Row],[Euro_Match_Number]],lkupGroupGame[Euro_Match_Number],0),MATCH(tblGroupMatch[[#Headers],[Group_Code]],lkupGroupGame[#Headers],0))</f>
        <v>C</v>
      </c>
      <c r="D31" s="53">
        <f>INDEX(lkupGroupGame[],MATCH(tblGroupMatch[[#This Row],[Euro_Match_Number]],lkupGroupGame[Euro_Match_Number],0),MATCH(tblGroupMatch[[#Headers],[Home_Group_Number]],lkupGroupGame[#Headers],0))</f>
        <v>2</v>
      </c>
      <c r="E31" s="53">
        <f>INDEX(lkupGroupGame[],MATCH(tblGroupMatch[[#This Row],[Euro_Match_Number]],lkupGroupGame[Euro_Match_Number],0),MATCH(tblGroupMatch[[#Headers],[Away_Group_Number]],lkupGroupGame[#Headers],0))</f>
        <v>3</v>
      </c>
      <c r="F31" s="53">
        <f>INDEX(lkupTeam[],MATCH(tblGroupMatch[[#This Row],[Group_Code]]&amp;tblGroupMatch[[#This Row],[Home_Group_Number]],lkupTeam[Team_Code],0),MATCH("Team_Number",lkupTeam[#Headers],0))</f>
        <v>10</v>
      </c>
      <c r="G31" s="53">
        <f>INDEX(lkupTeam[],MATCH(tblGroupMatch[[#This Row],[Group_Code]]&amp;tblGroupMatch[[#This Row],[Away_Group_Number]],lkupTeam[Team_Code],0),MATCH("Team_Number",lkupTeam[#Headers],0))</f>
        <v>11</v>
      </c>
      <c r="H31" s="53" t="str">
        <f>tblGroupMatch[[#This Row],[Group_Code]]&amp;MIN(tblGroupMatch[[#This Row],[Home_Group_Number]:[Away_Group_Number]])&amp;MAX(tblGroupMatch[[#This Row],[Home_Group_Number]:[Away_Group_Number]])</f>
        <v>C23</v>
      </c>
      <c r="I31" s="53">
        <f>INDEX(lkupGroupGame[],MATCH(tblGroupMatch[[#This Row],[Euro_Match_Number]],lkupGroupGame[Euro_Match_Number],0),MATCH(tblGroupMatch[[#Headers],[Match_Date]],lkupGroupGame[#Headers],0))</f>
        <v>44368</v>
      </c>
      <c r="J31" s="53">
        <f>INDEX(lkupGroupGame[],MATCH(tblGroupMatch[[#This Row],[Euro_Match_Number]],lkupGroupGame[Euro_Match_Number],0),MATCH(tblGroupMatch[[#Headers],[Match_Time_UK]],lkupGroupGame[#Headers],0))</f>
        <v>0.70833333333333337</v>
      </c>
      <c r="K31" s="53">
        <f>INDEX(lkupGroupGame[],MATCH(tblGroupMatch[[#This Row],[Euro_Match_Number]],lkupGroupGame[Euro_Match_Number],0),MATCH(tblGroupMatch[[#Headers],[Venue_Number]],lkupGroupGame[#Headers],0))</f>
        <v>9</v>
      </c>
      <c r="L31" s="53" t="str">
        <f>INDEX(lkupGroupGame[],MATCH(tblGroupMatch[[#This Row],[Euro_Match_Number]],lkupGroupGame[Euro_Match_Number],0),MATCH(tblGroupMatch[[#Headers],[TV_Station]],lkupGroupGame[#Headers],0))</f>
        <v>iTV</v>
      </c>
      <c r="M31" s="53" t="b">
        <f>AND(LEN(tblGroupMatch[[#This Row],[Team A Goals]])&gt;0,LEN(tblGroupMatch[[#This Row],[Team B Goals]])&gt;0,LEN(tblGroupMatch[[#This Row],[Team A YCs]])&gt;0,LEN(tblGroupMatch[[#This Row],[Team A RCs]])&gt;0,LEN(tblGroupMatch[[#This Row],[Team B Ycs]])&gt;0,LEN(tblGroupMatch[[#This Row],[Team B RCs]])&gt;0)</f>
        <v>0</v>
      </c>
      <c r="N31" s="53" t="b">
        <f>AND(tblGroupMatch[[#This Row],[Is_Complete]],OR(tblGroupMatch[[#This Row],[Team A Goals]]&gt;tblGroupMatch[[#This Row],[Team B Goals]],tblGroupMatch[[#This Row],[Team B Goals]]&gt;tblGroupMatch[[#This Row],[Team A Goals]]))</f>
        <v>0</v>
      </c>
      <c r="O31" s="53" t="str">
        <f>IF(tblGroupMatch[[#This Row],[Is_Complete]],IF(NOT(tblGroupMatch[[#This Row],[Is_Win]]),1,IF(tblGroupMatch[[#This Row],[Team A Goals]]&gt;tblGroupMatch[[#This Row],[Team B Goals]],3,0)),"")</f>
        <v/>
      </c>
      <c r="P31" s="53" t="str">
        <f>IF(tblGroupMatch[[#This Row],[Is_Complete]],IF(NOT(tblGroupMatch[[#This Row],[Is_Win]]),1,IF(tblGroupMatch[[#This Row],[Home_Points]]=0,3,0)),"")</f>
        <v/>
      </c>
      <c r="Q31" s="99">
        <f>tblGroupMatch[[#This Row],[Euro_Match_Number]]</f>
        <v>29</v>
      </c>
      <c r="R31" s="99" t="str">
        <f>tblGroupMatch[[#This Row],[Group_Code]]</f>
        <v>C</v>
      </c>
      <c r="S31" s="100">
        <f>SUM(tblGroupMatch[[#This Row],[Match_Date]],tblGroupMatch[[#This Row],[Match_Time_UK]])</f>
        <v>44368.708333333336</v>
      </c>
      <c r="T31" s="99" t="str">
        <f>INDEX(lkupVenue[],MATCH(tblGroupMatch[[#This Row],[Venue_Number]],lkupVenue[Venue_Number],0),MATCH("Venue_Short",lkupVenue[#Headers],0))</f>
        <v>Johan Cruyff Arena (NET)</v>
      </c>
      <c r="U31" s="99" t="str">
        <f>INDEX(lkupTeam[],MATCH(tblGroupMatch[[#This Row],[Home_Team_Number]],lkupTeam[Team_Number],0),MATCH("Team",lkupTeam[#Headers],0))</f>
        <v>North Macedonia</v>
      </c>
      <c r="V31" s="101"/>
      <c r="W31" s="101"/>
      <c r="X31" s="101"/>
      <c r="Y31" s="101"/>
      <c r="Z31" s="99" t="str">
        <f>INDEX(lkupTeam[],MATCH(tblGroupMatch[[#This Row],[Away_Team_Number]],lkupTeam[Team_Number],0),MATCH("Team",lkupTeam[#Headers],0))</f>
        <v>Netherlands</v>
      </c>
      <c r="AA31" s="101"/>
      <c r="AB31" s="101"/>
      <c r="AC31" s="101"/>
      <c r="AD31" s="101"/>
    </row>
    <row r="32" spans="2:30" x14ac:dyDescent="0.25">
      <c r="B32" s="54">
        <v>30</v>
      </c>
      <c r="C32" s="53" t="str">
        <f>INDEX(lkupGroupGame[],MATCH(tblGroupMatch[[#This Row],[Euro_Match_Number]],lkupGroupGame[Euro_Match_Number],0),MATCH(tblGroupMatch[[#Headers],[Group_Code]],lkupGroupGame[#Headers],0))</f>
        <v>C</v>
      </c>
      <c r="D32" s="53">
        <f>INDEX(lkupGroupGame[],MATCH(tblGroupMatch[[#This Row],[Euro_Match_Number]],lkupGroupGame[Euro_Match_Number],0),MATCH(tblGroupMatch[[#Headers],[Home_Group_Number]],lkupGroupGame[#Headers],0))</f>
        <v>4</v>
      </c>
      <c r="E32" s="53">
        <f>INDEX(lkupGroupGame[],MATCH(tblGroupMatch[[#This Row],[Euro_Match_Number]],lkupGroupGame[Euro_Match_Number],0),MATCH(tblGroupMatch[[#Headers],[Away_Group_Number]],lkupGroupGame[#Headers],0))</f>
        <v>1</v>
      </c>
      <c r="F32" s="53">
        <f>INDEX(lkupTeam[],MATCH(tblGroupMatch[[#This Row],[Group_Code]]&amp;tblGroupMatch[[#This Row],[Home_Group_Number]],lkupTeam[Team_Code],0),MATCH("Team_Number",lkupTeam[#Headers],0))</f>
        <v>12</v>
      </c>
      <c r="G32" s="53">
        <f>INDEX(lkupTeam[],MATCH(tblGroupMatch[[#This Row],[Group_Code]]&amp;tblGroupMatch[[#This Row],[Away_Group_Number]],lkupTeam[Team_Code],0),MATCH("Team_Number",lkupTeam[#Headers],0))</f>
        <v>9</v>
      </c>
      <c r="H32" s="53" t="str">
        <f>tblGroupMatch[[#This Row],[Group_Code]]&amp;MIN(tblGroupMatch[[#This Row],[Home_Group_Number]:[Away_Group_Number]])&amp;MAX(tblGroupMatch[[#This Row],[Home_Group_Number]:[Away_Group_Number]])</f>
        <v>C14</v>
      </c>
      <c r="I32" s="53">
        <f>INDEX(lkupGroupGame[],MATCH(tblGroupMatch[[#This Row],[Euro_Match_Number]],lkupGroupGame[Euro_Match_Number],0),MATCH(tblGroupMatch[[#Headers],[Match_Date]],lkupGroupGame[#Headers],0))</f>
        <v>44368</v>
      </c>
      <c r="J32" s="53">
        <f>INDEX(lkupGroupGame[],MATCH(tblGroupMatch[[#This Row],[Euro_Match_Number]],lkupGroupGame[Euro_Match_Number],0),MATCH(tblGroupMatch[[#Headers],[Match_Time_UK]],lkupGroupGame[#Headers],0))</f>
        <v>0.70833333333333337</v>
      </c>
      <c r="K32" s="53">
        <f>INDEX(lkupGroupGame[],MATCH(tblGroupMatch[[#This Row],[Euro_Match_Number]],lkupGroupGame[Euro_Match_Number],0),MATCH(tblGroupMatch[[#Headers],[Venue_Number]],lkupGroupGame[#Headers],0))</f>
        <v>8</v>
      </c>
      <c r="L32" s="53" t="str">
        <f>INDEX(lkupGroupGame[],MATCH(tblGroupMatch[[#This Row],[Euro_Match_Number]],lkupGroupGame[Euro_Match_Number],0),MATCH(tblGroupMatch[[#Headers],[TV_Station]],lkupGroupGame[#Headers],0))</f>
        <v>iTV</v>
      </c>
      <c r="M32" s="53" t="b">
        <f>AND(LEN(tblGroupMatch[[#This Row],[Team A Goals]])&gt;0,LEN(tblGroupMatch[[#This Row],[Team B Goals]])&gt;0,LEN(tblGroupMatch[[#This Row],[Team A YCs]])&gt;0,LEN(tblGroupMatch[[#This Row],[Team A RCs]])&gt;0,LEN(tblGroupMatch[[#This Row],[Team B Ycs]])&gt;0,LEN(tblGroupMatch[[#This Row],[Team B RCs]])&gt;0)</f>
        <v>0</v>
      </c>
      <c r="N32" s="53" t="b">
        <f>AND(tblGroupMatch[[#This Row],[Is_Complete]],OR(tblGroupMatch[[#This Row],[Team A Goals]]&gt;tblGroupMatch[[#This Row],[Team B Goals]],tblGroupMatch[[#This Row],[Team B Goals]]&gt;tblGroupMatch[[#This Row],[Team A Goals]]))</f>
        <v>0</v>
      </c>
      <c r="O32" s="53" t="str">
        <f>IF(tblGroupMatch[[#This Row],[Is_Complete]],IF(NOT(tblGroupMatch[[#This Row],[Is_Win]]),1,IF(tblGroupMatch[[#This Row],[Team A Goals]]&gt;tblGroupMatch[[#This Row],[Team B Goals]],3,0)),"")</f>
        <v/>
      </c>
      <c r="P32" s="53" t="str">
        <f>IF(tblGroupMatch[[#This Row],[Is_Complete]],IF(NOT(tblGroupMatch[[#This Row],[Is_Win]]),1,IF(tblGroupMatch[[#This Row],[Home_Points]]=0,3,0)),"")</f>
        <v/>
      </c>
      <c r="Q32" s="99">
        <f>tblGroupMatch[[#This Row],[Euro_Match_Number]]</f>
        <v>30</v>
      </c>
      <c r="R32" s="99" t="str">
        <f>tblGroupMatch[[#This Row],[Group_Code]]</f>
        <v>C</v>
      </c>
      <c r="S32" s="100">
        <f>SUM(tblGroupMatch[[#This Row],[Match_Date]],tblGroupMatch[[#This Row],[Match_Time_UK]])</f>
        <v>44368.708333333336</v>
      </c>
      <c r="T32" s="99" t="str">
        <f>INDEX(lkupVenue[],MATCH(tblGroupMatch[[#This Row],[Venue_Number]],lkupVenue[Venue_Number],0),MATCH("Venue_Short",lkupVenue[#Headers],0))</f>
        <v>Arean Nationala (ROM)</v>
      </c>
      <c r="U32" s="99" t="str">
        <f>INDEX(lkupTeam[],MATCH(tblGroupMatch[[#This Row],[Home_Team_Number]],lkupTeam[Team_Number],0),MATCH("Team",lkupTeam[#Headers],0))</f>
        <v>Ukraine</v>
      </c>
      <c r="V32" s="101"/>
      <c r="W32" s="101"/>
      <c r="X32" s="101"/>
      <c r="Y32" s="101"/>
      <c r="Z32" s="99" t="str">
        <f>INDEX(lkupTeam[],MATCH(tblGroupMatch[[#This Row],[Away_Team_Number]],lkupTeam[Team_Number],0),MATCH("Team",lkupTeam[#Headers],0))</f>
        <v>Austria</v>
      </c>
      <c r="AA32" s="101"/>
      <c r="AB32" s="101"/>
      <c r="AC32" s="101"/>
      <c r="AD32" s="101"/>
    </row>
    <row r="33" spans="2:30" x14ac:dyDescent="0.25">
      <c r="B33" s="54">
        <v>27</v>
      </c>
      <c r="C33" s="53" t="str">
        <f>INDEX(lkupGroupGame[],MATCH(tblGroupMatch[[#This Row],[Euro_Match_Number]],lkupGroupGame[Euro_Match_Number],0),MATCH(tblGroupMatch[[#Headers],[Group_Code]],lkupGroupGame[#Headers],0))</f>
        <v>B</v>
      </c>
      <c r="D33" s="53">
        <f>INDEX(lkupGroupGame[],MATCH(tblGroupMatch[[#This Row],[Euro_Match_Number]],lkupGroupGame[Euro_Match_Number],0),MATCH(tblGroupMatch[[#Headers],[Home_Group_Number]],lkupGroupGame[#Headers],0))</f>
        <v>2</v>
      </c>
      <c r="E33" s="53">
        <f>INDEX(lkupGroupGame[],MATCH(tblGroupMatch[[#This Row],[Euro_Match_Number]],lkupGroupGame[Euro_Match_Number],0),MATCH(tblGroupMatch[[#Headers],[Away_Group_Number]],lkupGroupGame[#Headers],0))</f>
        <v>3</v>
      </c>
      <c r="F33" s="53">
        <f>INDEX(lkupTeam[],MATCH(tblGroupMatch[[#This Row],[Group_Code]]&amp;tblGroupMatch[[#This Row],[Home_Group_Number]],lkupTeam[Team_Code],0),MATCH("Team_Number",lkupTeam[#Headers],0))</f>
        <v>6</v>
      </c>
      <c r="G33" s="53">
        <f>INDEX(lkupTeam[],MATCH(tblGroupMatch[[#This Row],[Group_Code]]&amp;tblGroupMatch[[#This Row],[Away_Group_Number]],lkupTeam[Team_Code],0),MATCH("Team_Number",lkupTeam[#Headers],0))</f>
        <v>7</v>
      </c>
      <c r="H33" s="53" t="str">
        <f>tblGroupMatch[[#This Row],[Group_Code]]&amp;MIN(tblGroupMatch[[#This Row],[Home_Group_Number]:[Away_Group_Number]])&amp;MAX(tblGroupMatch[[#This Row],[Home_Group_Number]:[Away_Group_Number]])</f>
        <v>B23</v>
      </c>
      <c r="I33" s="53">
        <f>INDEX(lkupGroupGame[],MATCH(tblGroupMatch[[#This Row],[Euro_Match_Number]],lkupGroupGame[Euro_Match_Number],0),MATCH(tblGroupMatch[[#Headers],[Match_Date]],lkupGroupGame[#Headers],0))</f>
        <v>44368</v>
      </c>
      <c r="J33" s="53">
        <f>INDEX(lkupGroupGame[],MATCH(tblGroupMatch[[#This Row],[Euro_Match_Number]],lkupGroupGame[Euro_Match_Number],0),MATCH(tblGroupMatch[[#Headers],[Match_Time_UK]],lkupGroupGame[#Headers],0))</f>
        <v>0.83333333333333337</v>
      </c>
      <c r="K33" s="53">
        <f>INDEX(lkupGroupGame[],MATCH(tblGroupMatch[[#This Row],[Euro_Match_Number]],lkupGroupGame[Euro_Match_Number],0),MATCH(tblGroupMatch[[#Headers],[Venue_Number]],lkupGroupGame[#Headers],0))</f>
        <v>11</v>
      </c>
      <c r="L33" s="53" t="str">
        <f>INDEX(lkupGroupGame[],MATCH(tblGroupMatch[[#This Row],[Euro_Match_Number]],lkupGroupGame[Euro_Match_Number],0),MATCH(tblGroupMatch[[#Headers],[TV_Station]],lkupGroupGame[#Headers],0))</f>
        <v>BBC</v>
      </c>
      <c r="M33" s="53" t="b">
        <f>AND(LEN(tblGroupMatch[[#This Row],[Team A Goals]])&gt;0,LEN(tblGroupMatch[[#This Row],[Team B Goals]])&gt;0,LEN(tblGroupMatch[[#This Row],[Team A YCs]])&gt;0,LEN(tblGroupMatch[[#This Row],[Team A RCs]])&gt;0,LEN(tblGroupMatch[[#This Row],[Team B Ycs]])&gt;0,LEN(tblGroupMatch[[#This Row],[Team B RCs]])&gt;0)</f>
        <v>0</v>
      </c>
      <c r="N33" s="53" t="b">
        <f>AND(tblGroupMatch[[#This Row],[Is_Complete]],OR(tblGroupMatch[[#This Row],[Team A Goals]]&gt;tblGroupMatch[[#This Row],[Team B Goals]],tblGroupMatch[[#This Row],[Team B Goals]]&gt;tblGroupMatch[[#This Row],[Team A Goals]]))</f>
        <v>0</v>
      </c>
      <c r="O33" s="53" t="str">
        <f>IF(tblGroupMatch[[#This Row],[Is_Complete]],IF(NOT(tblGroupMatch[[#This Row],[Is_Win]]),1,IF(tblGroupMatch[[#This Row],[Team A Goals]]&gt;tblGroupMatch[[#This Row],[Team B Goals]],3,0)),"")</f>
        <v/>
      </c>
      <c r="P33" s="53" t="str">
        <f>IF(tblGroupMatch[[#This Row],[Is_Complete]],IF(NOT(tblGroupMatch[[#This Row],[Is_Win]]),1,IF(tblGroupMatch[[#This Row],[Home_Points]]=0,3,0)),"")</f>
        <v/>
      </c>
      <c r="Q33" s="99">
        <f>tblGroupMatch[[#This Row],[Euro_Match_Number]]</f>
        <v>27</v>
      </c>
      <c r="R33" s="99" t="str">
        <f>tblGroupMatch[[#This Row],[Group_Code]]</f>
        <v>B</v>
      </c>
      <c r="S33" s="100">
        <f>SUM(tblGroupMatch[[#This Row],[Match_Date]],tblGroupMatch[[#This Row],[Match_Time_UK]])</f>
        <v>44368.833333333336</v>
      </c>
      <c r="T33" s="99" t="str">
        <f>INDEX(lkupVenue[],MATCH(tblGroupMatch[[#This Row],[Venue_Number]],lkupVenue[Venue_Number],0),MATCH("Venue_Short",lkupVenue[#Headers],0))</f>
        <v>Parken Stadium (DEN)</v>
      </c>
      <c r="U33" s="99" t="str">
        <f>INDEX(lkupTeam[],MATCH(tblGroupMatch[[#This Row],[Home_Team_Number]],lkupTeam[Team_Number],0),MATCH("Team",lkupTeam[#Headers],0))</f>
        <v>Finland</v>
      </c>
      <c r="V33" s="101"/>
      <c r="W33" s="101"/>
      <c r="X33" s="101"/>
      <c r="Y33" s="101"/>
      <c r="Z33" s="99" t="str">
        <f>INDEX(lkupTeam[],MATCH(tblGroupMatch[[#This Row],[Away_Team_Number]],lkupTeam[Team_Number],0),MATCH("Team",lkupTeam[#Headers],0))</f>
        <v>Belgium</v>
      </c>
      <c r="AA33" s="101"/>
      <c r="AB33" s="101"/>
      <c r="AC33" s="101"/>
      <c r="AD33" s="101"/>
    </row>
    <row r="34" spans="2:30" x14ac:dyDescent="0.25">
      <c r="B34" s="54">
        <v>28</v>
      </c>
      <c r="C34" s="53" t="str">
        <f>INDEX(lkupGroupGame[],MATCH(tblGroupMatch[[#This Row],[Euro_Match_Number]],lkupGroupGame[Euro_Match_Number],0),MATCH(tblGroupMatch[[#Headers],[Group_Code]],lkupGroupGame[#Headers],0))</f>
        <v>B</v>
      </c>
      <c r="D34" s="53">
        <f>INDEX(lkupGroupGame[],MATCH(tblGroupMatch[[#This Row],[Euro_Match_Number]],lkupGroupGame[Euro_Match_Number],0),MATCH(tblGroupMatch[[#Headers],[Home_Group_Number]],lkupGroupGame[#Headers],0))</f>
        <v>4</v>
      </c>
      <c r="E34" s="53">
        <f>INDEX(lkupGroupGame[],MATCH(tblGroupMatch[[#This Row],[Euro_Match_Number]],lkupGroupGame[Euro_Match_Number],0),MATCH(tblGroupMatch[[#Headers],[Away_Group_Number]],lkupGroupGame[#Headers],0))</f>
        <v>1</v>
      </c>
      <c r="F34" s="53">
        <f>INDEX(lkupTeam[],MATCH(tblGroupMatch[[#This Row],[Group_Code]]&amp;tblGroupMatch[[#This Row],[Home_Group_Number]],lkupTeam[Team_Code],0),MATCH("Team_Number",lkupTeam[#Headers],0))</f>
        <v>8</v>
      </c>
      <c r="G34" s="53">
        <f>INDEX(lkupTeam[],MATCH(tblGroupMatch[[#This Row],[Group_Code]]&amp;tblGroupMatch[[#This Row],[Away_Group_Number]],lkupTeam[Team_Code],0),MATCH("Team_Number",lkupTeam[#Headers],0))</f>
        <v>5</v>
      </c>
      <c r="H34" s="53" t="str">
        <f>tblGroupMatch[[#This Row],[Group_Code]]&amp;MIN(tblGroupMatch[[#This Row],[Home_Group_Number]:[Away_Group_Number]])&amp;MAX(tblGroupMatch[[#This Row],[Home_Group_Number]:[Away_Group_Number]])</f>
        <v>B14</v>
      </c>
      <c r="I34" s="53">
        <f>INDEX(lkupGroupGame[],MATCH(tblGroupMatch[[#This Row],[Euro_Match_Number]],lkupGroupGame[Euro_Match_Number],0),MATCH(tblGroupMatch[[#Headers],[Match_Date]],lkupGroupGame[#Headers],0))</f>
        <v>44368</v>
      </c>
      <c r="J34" s="53">
        <f>INDEX(lkupGroupGame[],MATCH(tblGroupMatch[[#This Row],[Euro_Match_Number]],lkupGroupGame[Euro_Match_Number],0),MATCH(tblGroupMatch[[#Headers],[Match_Time_UK]],lkupGroupGame[#Headers],0))</f>
        <v>0.83333333333333337</v>
      </c>
      <c r="K34" s="53">
        <f>INDEX(lkupGroupGame[],MATCH(tblGroupMatch[[#This Row],[Euro_Match_Number]],lkupGroupGame[Euro_Match_Number],0),MATCH(tblGroupMatch[[#Headers],[Venue_Number]],lkupGroupGame[#Headers],0))</f>
        <v>5</v>
      </c>
      <c r="L34" s="53" t="str">
        <f>INDEX(lkupGroupGame[],MATCH(tblGroupMatch[[#This Row],[Euro_Match_Number]],lkupGroupGame[Euro_Match_Number],0),MATCH(tblGroupMatch[[#Headers],[TV_Station]],lkupGroupGame[#Headers],0))</f>
        <v>BBC</v>
      </c>
      <c r="M34" s="53" t="b">
        <f>AND(LEN(tblGroupMatch[[#This Row],[Team A Goals]])&gt;0,LEN(tblGroupMatch[[#This Row],[Team B Goals]])&gt;0,LEN(tblGroupMatch[[#This Row],[Team A YCs]])&gt;0,LEN(tblGroupMatch[[#This Row],[Team A RCs]])&gt;0,LEN(tblGroupMatch[[#This Row],[Team B Ycs]])&gt;0,LEN(tblGroupMatch[[#This Row],[Team B RCs]])&gt;0)</f>
        <v>0</v>
      </c>
      <c r="N34" s="53" t="b">
        <f>AND(tblGroupMatch[[#This Row],[Is_Complete]],OR(tblGroupMatch[[#This Row],[Team A Goals]]&gt;tblGroupMatch[[#This Row],[Team B Goals]],tblGroupMatch[[#This Row],[Team B Goals]]&gt;tblGroupMatch[[#This Row],[Team A Goals]]))</f>
        <v>0</v>
      </c>
      <c r="O34" s="53" t="str">
        <f>IF(tblGroupMatch[[#This Row],[Is_Complete]],IF(NOT(tblGroupMatch[[#This Row],[Is_Win]]),1,IF(tblGroupMatch[[#This Row],[Team A Goals]]&gt;tblGroupMatch[[#This Row],[Team B Goals]],3,0)),"")</f>
        <v/>
      </c>
      <c r="P34" s="53" t="str">
        <f>IF(tblGroupMatch[[#This Row],[Is_Complete]],IF(NOT(tblGroupMatch[[#This Row],[Is_Win]]),1,IF(tblGroupMatch[[#This Row],[Home_Points]]=0,3,0)),"")</f>
        <v/>
      </c>
      <c r="Q34" s="99">
        <f>tblGroupMatch[[#This Row],[Euro_Match_Number]]</f>
        <v>28</v>
      </c>
      <c r="R34" s="99" t="str">
        <f>tblGroupMatch[[#This Row],[Group_Code]]</f>
        <v>B</v>
      </c>
      <c r="S34" s="100">
        <f>SUM(tblGroupMatch[[#This Row],[Match_Date]],tblGroupMatch[[#This Row],[Match_Time_UK]])</f>
        <v>44368.833333333336</v>
      </c>
      <c r="T34" s="99" t="str">
        <f>INDEX(lkupVenue[],MATCH(tblGroupMatch[[#This Row],[Venue_Number]],lkupVenue[Venue_Number],0),MATCH("Venue_Short",lkupVenue[#Headers],0))</f>
        <v>Krestovsky Stadium (RUS)</v>
      </c>
      <c r="U34" s="99" t="str">
        <f>INDEX(lkupTeam[],MATCH(tblGroupMatch[[#This Row],[Home_Team_Number]],lkupTeam[Team_Number],0),MATCH("Team",lkupTeam[#Headers],0))</f>
        <v>Russia</v>
      </c>
      <c r="V34" s="101"/>
      <c r="W34" s="101"/>
      <c r="X34" s="101"/>
      <c r="Y34" s="101"/>
      <c r="Z34" s="99" t="str">
        <f>INDEX(lkupTeam[],MATCH(tblGroupMatch[[#This Row],[Away_Team_Number]],lkupTeam[Team_Number],0),MATCH("Team",lkupTeam[#Headers],0))</f>
        <v>Denmark</v>
      </c>
      <c r="AA34" s="101"/>
      <c r="AB34" s="101"/>
      <c r="AC34" s="101"/>
      <c r="AD34" s="101"/>
    </row>
    <row r="35" spans="2:30" x14ac:dyDescent="0.25">
      <c r="B35" s="54">
        <v>31</v>
      </c>
      <c r="C35" s="53" t="str">
        <f>INDEX(lkupGroupGame[],MATCH(tblGroupMatch[[#This Row],[Euro_Match_Number]],lkupGroupGame[Euro_Match_Number],0),MATCH(tblGroupMatch[[#Headers],[Group_Code]],lkupGroupGame[#Headers],0))</f>
        <v>D</v>
      </c>
      <c r="D35" s="53">
        <f>INDEX(lkupGroupGame[],MATCH(tblGroupMatch[[#This Row],[Euro_Match_Number]],lkupGroupGame[Euro_Match_Number],0),MATCH(tblGroupMatch[[#Headers],[Home_Group_Number]],lkupGroupGame[#Headers],0))</f>
        <v>2</v>
      </c>
      <c r="E35" s="53">
        <f>INDEX(lkupGroupGame[],MATCH(tblGroupMatch[[#This Row],[Euro_Match_Number]],lkupGroupGame[Euro_Match_Number],0),MATCH(tblGroupMatch[[#Headers],[Away_Group_Number]],lkupGroupGame[#Headers],0))</f>
        <v>3</v>
      </c>
      <c r="F35" s="53">
        <f>INDEX(lkupTeam[],MATCH(tblGroupMatch[[#This Row],[Group_Code]]&amp;tblGroupMatch[[#This Row],[Home_Group_Number]],lkupTeam[Team_Code],0),MATCH("Team_Number",lkupTeam[#Headers],0))</f>
        <v>14</v>
      </c>
      <c r="G35" s="53">
        <f>INDEX(lkupTeam[],MATCH(tblGroupMatch[[#This Row],[Group_Code]]&amp;tblGroupMatch[[#This Row],[Away_Group_Number]],lkupTeam[Team_Code],0),MATCH("Team_Number",lkupTeam[#Headers],0))</f>
        <v>15</v>
      </c>
      <c r="H35" s="53" t="str">
        <f>tblGroupMatch[[#This Row],[Group_Code]]&amp;MIN(tblGroupMatch[[#This Row],[Home_Group_Number]:[Away_Group_Number]])&amp;MAX(tblGroupMatch[[#This Row],[Home_Group_Number]:[Away_Group_Number]])</f>
        <v>D23</v>
      </c>
      <c r="I35" s="53">
        <f>INDEX(lkupGroupGame[],MATCH(tblGroupMatch[[#This Row],[Euro_Match_Number]],lkupGroupGame[Euro_Match_Number],0),MATCH(tblGroupMatch[[#Headers],[Match_Date]],lkupGroupGame[#Headers],0))</f>
        <v>44369</v>
      </c>
      <c r="J35" s="53">
        <f>INDEX(lkupGroupGame[],MATCH(tblGroupMatch[[#This Row],[Euro_Match_Number]],lkupGroupGame[Euro_Match_Number],0),MATCH(tblGroupMatch[[#Headers],[Match_Time_UK]],lkupGroupGame[#Headers],0))</f>
        <v>0.83333333333333337</v>
      </c>
      <c r="K35" s="53">
        <f>INDEX(lkupGroupGame[],MATCH(tblGroupMatch[[#This Row],[Euro_Match_Number]],lkupGroupGame[Euro_Match_Number],0),MATCH(tblGroupMatch[[#Headers],[Venue_Number]],lkupGroupGame[#Headers],0))</f>
        <v>10</v>
      </c>
      <c r="L35" s="53" t="str">
        <f>INDEX(lkupGroupGame[],MATCH(tblGroupMatch[[#This Row],[Euro_Match_Number]],lkupGroupGame[Euro_Match_Number],0),MATCH(tblGroupMatch[[#Headers],[TV_Station]],lkupGroupGame[#Headers],0))</f>
        <v>iTV</v>
      </c>
      <c r="M35" s="53" t="b">
        <f>AND(LEN(tblGroupMatch[[#This Row],[Team A Goals]])&gt;0,LEN(tblGroupMatch[[#This Row],[Team B Goals]])&gt;0,LEN(tblGroupMatch[[#This Row],[Team A YCs]])&gt;0,LEN(tblGroupMatch[[#This Row],[Team A RCs]])&gt;0,LEN(tblGroupMatch[[#This Row],[Team B Ycs]])&gt;0,LEN(tblGroupMatch[[#This Row],[Team B RCs]])&gt;0)</f>
        <v>0</v>
      </c>
      <c r="N35" s="53" t="b">
        <f>AND(tblGroupMatch[[#This Row],[Is_Complete]],OR(tblGroupMatch[[#This Row],[Team A Goals]]&gt;tblGroupMatch[[#This Row],[Team B Goals]],tblGroupMatch[[#This Row],[Team B Goals]]&gt;tblGroupMatch[[#This Row],[Team A Goals]]))</f>
        <v>0</v>
      </c>
      <c r="O35" s="53" t="str">
        <f>IF(tblGroupMatch[[#This Row],[Is_Complete]],IF(NOT(tblGroupMatch[[#This Row],[Is_Win]]),1,IF(tblGroupMatch[[#This Row],[Team A Goals]]&gt;tblGroupMatch[[#This Row],[Team B Goals]],3,0)),"")</f>
        <v/>
      </c>
      <c r="P35" s="53" t="str">
        <f>IF(tblGroupMatch[[#This Row],[Is_Complete]],IF(NOT(tblGroupMatch[[#This Row],[Is_Win]]),1,IF(tblGroupMatch[[#This Row],[Home_Points]]=0,3,0)),"")</f>
        <v/>
      </c>
      <c r="Q35" s="99">
        <f>tblGroupMatch[[#This Row],[Euro_Match_Number]]</f>
        <v>31</v>
      </c>
      <c r="R35" s="99" t="str">
        <f>tblGroupMatch[[#This Row],[Group_Code]]</f>
        <v>D</v>
      </c>
      <c r="S35" s="100">
        <f>SUM(tblGroupMatch[[#This Row],[Match_Date]],tblGroupMatch[[#This Row],[Match_Time_UK]])</f>
        <v>44369.833333333336</v>
      </c>
      <c r="T35" s="99" t="str">
        <f>INDEX(lkupVenue[],MATCH(tblGroupMatch[[#This Row],[Venue_Number]],lkupVenue[Venue_Number],0),MATCH("Venue_Short",lkupVenue[#Headers],0))</f>
        <v>Hampden Park (SCO)</v>
      </c>
      <c r="U35" s="99" t="str">
        <f>INDEX(lkupTeam[],MATCH(tblGroupMatch[[#This Row],[Home_Team_Number]],lkupTeam[Team_Number],0),MATCH("Team",lkupTeam[#Headers],0))</f>
        <v>Croatia</v>
      </c>
      <c r="V35" s="101"/>
      <c r="W35" s="101"/>
      <c r="X35" s="101"/>
      <c r="Y35" s="101"/>
      <c r="Z35" s="99" t="str">
        <f>INDEX(lkupTeam[],MATCH(tblGroupMatch[[#This Row],[Away_Team_Number]],lkupTeam[Team_Number],0),MATCH("Team",lkupTeam[#Headers],0))</f>
        <v>Scotland</v>
      </c>
      <c r="AA35" s="101"/>
      <c r="AB35" s="101"/>
      <c r="AC35" s="101"/>
      <c r="AD35" s="101"/>
    </row>
    <row r="36" spans="2:30" x14ac:dyDescent="0.25">
      <c r="B36" s="54">
        <v>32</v>
      </c>
      <c r="C36" s="53" t="str">
        <f>INDEX(lkupGroupGame[],MATCH(tblGroupMatch[[#This Row],[Euro_Match_Number]],lkupGroupGame[Euro_Match_Number],0),MATCH(tblGroupMatch[[#Headers],[Group_Code]],lkupGroupGame[#Headers],0))</f>
        <v>D</v>
      </c>
      <c r="D36" s="53">
        <f>INDEX(lkupGroupGame[],MATCH(tblGroupMatch[[#This Row],[Euro_Match_Number]],lkupGroupGame[Euro_Match_Number],0),MATCH(tblGroupMatch[[#Headers],[Home_Group_Number]],lkupGroupGame[#Headers],0))</f>
        <v>4</v>
      </c>
      <c r="E36" s="53">
        <f>INDEX(lkupGroupGame[],MATCH(tblGroupMatch[[#This Row],[Euro_Match_Number]],lkupGroupGame[Euro_Match_Number],0),MATCH(tblGroupMatch[[#Headers],[Away_Group_Number]],lkupGroupGame[#Headers],0))</f>
        <v>1</v>
      </c>
      <c r="F36" s="53">
        <f>INDEX(lkupTeam[],MATCH(tblGroupMatch[[#This Row],[Group_Code]]&amp;tblGroupMatch[[#This Row],[Home_Group_Number]],lkupTeam[Team_Code],0),MATCH("Team_Number",lkupTeam[#Headers],0))</f>
        <v>16</v>
      </c>
      <c r="G36" s="53">
        <f>INDEX(lkupTeam[],MATCH(tblGroupMatch[[#This Row],[Group_Code]]&amp;tblGroupMatch[[#This Row],[Away_Group_Number]],lkupTeam[Team_Code],0),MATCH("Team_Number",lkupTeam[#Headers],0))</f>
        <v>13</v>
      </c>
      <c r="H36" s="53" t="str">
        <f>tblGroupMatch[[#This Row],[Group_Code]]&amp;MIN(tblGroupMatch[[#This Row],[Home_Group_Number]:[Away_Group_Number]])&amp;MAX(tblGroupMatch[[#This Row],[Home_Group_Number]:[Away_Group_Number]])</f>
        <v>D14</v>
      </c>
      <c r="I36" s="53">
        <f>INDEX(lkupGroupGame[],MATCH(tblGroupMatch[[#This Row],[Euro_Match_Number]],lkupGroupGame[Euro_Match_Number],0),MATCH(tblGroupMatch[[#Headers],[Match_Date]],lkupGroupGame[#Headers],0))</f>
        <v>44369</v>
      </c>
      <c r="J36" s="53">
        <f>INDEX(lkupGroupGame[],MATCH(tblGroupMatch[[#This Row],[Euro_Match_Number]],lkupGroupGame[Euro_Match_Number],0),MATCH(tblGroupMatch[[#Headers],[Match_Time_UK]],lkupGroupGame[#Headers],0))</f>
        <v>0.83333333333333337</v>
      </c>
      <c r="K36" s="53">
        <f>INDEX(lkupGroupGame[],MATCH(tblGroupMatch[[#This Row],[Euro_Match_Number]],lkupGroupGame[Euro_Match_Number],0),MATCH(tblGroupMatch[[#Headers],[Venue_Number]],lkupGroupGame[#Headers],0))</f>
        <v>1</v>
      </c>
      <c r="L36" s="53" t="str">
        <f>INDEX(lkupGroupGame[],MATCH(tblGroupMatch[[#This Row],[Euro_Match_Number]],lkupGroupGame[Euro_Match_Number],0),MATCH(tblGroupMatch[[#Headers],[TV_Station]],lkupGroupGame[#Headers],0))</f>
        <v>iTV</v>
      </c>
      <c r="M36" s="53" t="b">
        <f>AND(LEN(tblGroupMatch[[#This Row],[Team A Goals]])&gt;0,LEN(tblGroupMatch[[#This Row],[Team B Goals]])&gt;0,LEN(tblGroupMatch[[#This Row],[Team A YCs]])&gt;0,LEN(tblGroupMatch[[#This Row],[Team A RCs]])&gt;0,LEN(tblGroupMatch[[#This Row],[Team B Ycs]])&gt;0,LEN(tblGroupMatch[[#This Row],[Team B RCs]])&gt;0)</f>
        <v>0</v>
      </c>
      <c r="N36" s="53" t="b">
        <f>AND(tblGroupMatch[[#This Row],[Is_Complete]],OR(tblGroupMatch[[#This Row],[Team A Goals]]&gt;tblGroupMatch[[#This Row],[Team B Goals]],tblGroupMatch[[#This Row],[Team B Goals]]&gt;tblGroupMatch[[#This Row],[Team A Goals]]))</f>
        <v>0</v>
      </c>
      <c r="O36" s="53" t="str">
        <f>IF(tblGroupMatch[[#This Row],[Is_Complete]],IF(NOT(tblGroupMatch[[#This Row],[Is_Win]]),1,IF(tblGroupMatch[[#This Row],[Team A Goals]]&gt;tblGroupMatch[[#This Row],[Team B Goals]],3,0)),"")</f>
        <v/>
      </c>
      <c r="P36" s="53" t="str">
        <f>IF(tblGroupMatch[[#This Row],[Is_Complete]],IF(NOT(tblGroupMatch[[#This Row],[Is_Win]]),1,IF(tblGroupMatch[[#This Row],[Home_Points]]=0,3,0)),"")</f>
        <v/>
      </c>
      <c r="Q36" s="99">
        <f>tblGroupMatch[[#This Row],[Euro_Match_Number]]</f>
        <v>32</v>
      </c>
      <c r="R36" s="99" t="str">
        <f>tblGroupMatch[[#This Row],[Group_Code]]</f>
        <v>D</v>
      </c>
      <c r="S36" s="100">
        <f>SUM(tblGroupMatch[[#This Row],[Match_Date]],tblGroupMatch[[#This Row],[Match_Time_UK]])</f>
        <v>44369.833333333336</v>
      </c>
      <c r="T36" s="99" t="str">
        <f>INDEX(lkupVenue[],MATCH(tblGroupMatch[[#This Row],[Venue_Number]],lkupVenue[Venue_Number],0),MATCH("Venue_Short",lkupVenue[#Headers],0))</f>
        <v>Wembley Stadium (ENG)</v>
      </c>
      <c r="U36" s="99" t="str">
        <f>INDEX(lkupTeam[],MATCH(tblGroupMatch[[#This Row],[Home_Team_Number]],lkupTeam[Team_Number],0),MATCH("Team",lkupTeam[#Headers],0))</f>
        <v>Czech Republic</v>
      </c>
      <c r="V36" s="101"/>
      <c r="W36" s="101"/>
      <c r="X36" s="101"/>
      <c r="Y36" s="101"/>
      <c r="Z36" s="99" t="str">
        <f>INDEX(lkupTeam[],MATCH(tblGroupMatch[[#This Row],[Away_Team_Number]],lkupTeam[Team_Number],0),MATCH("Team",lkupTeam[#Headers],0))</f>
        <v>England</v>
      </c>
      <c r="AA36" s="101"/>
      <c r="AB36" s="101"/>
      <c r="AC36" s="101"/>
      <c r="AD36" s="101"/>
    </row>
    <row r="37" spans="2:30" x14ac:dyDescent="0.25">
      <c r="B37" s="54">
        <v>33</v>
      </c>
      <c r="C37" s="53" t="str">
        <f>INDEX(lkupGroupGame[],MATCH(tblGroupMatch[[#This Row],[Euro_Match_Number]],lkupGroupGame[Euro_Match_Number],0),MATCH(tblGroupMatch[[#Headers],[Group_Code]],lkupGroupGame[#Headers],0))</f>
        <v>E</v>
      </c>
      <c r="D37" s="53">
        <f>INDEX(lkupGroupGame[],MATCH(tblGroupMatch[[#This Row],[Euro_Match_Number]],lkupGroupGame[Euro_Match_Number],0),MATCH(tblGroupMatch[[#Headers],[Home_Group_Number]],lkupGroupGame[#Headers],0))</f>
        <v>2</v>
      </c>
      <c r="E37" s="53">
        <f>INDEX(lkupGroupGame[],MATCH(tblGroupMatch[[#This Row],[Euro_Match_Number]],lkupGroupGame[Euro_Match_Number],0),MATCH(tblGroupMatch[[#Headers],[Away_Group_Number]],lkupGroupGame[#Headers],0))</f>
        <v>3</v>
      </c>
      <c r="F37" s="53">
        <f>INDEX(lkupTeam[],MATCH(tblGroupMatch[[#This Row],[Group_Code]]&amp;tblGroupMatch[[#This Row],[Home_Group_Number]],lkupTeam[Team_Code],0),MATCH("Team_Number",lkupTeam[#Headers],0))</f>
        <v>18</v>
      </c>
      <c r="G37" s="53">
        <f>INDEX(lkupTeam[],MATCH(tblGroupMatch[[#This Row],[Group_Code]]&amp;tblGroupMatch[[#This Row],[Away_Group_Number]],lkupTeam[Team_Code],0),MATCH("Team_Number",lkupTeam[#Headers],0))</f>
        <v>19</v>
      </c>
      <c r="H37" s="53" t="str">
        <f>tblGroupMatch[[#This Row],[Group_Code]]&amp;MIN(tblGroupMatch[[#This Row],[Home_Group_Number]:[Away_Group_Number]])&amp;MAX(tblGroupMatch[[#This Row],[Home_Group_Number]:[Away_Group_Number]])</f>
        <v>E23</v>
      </c>
      <c r="I37" s="53">
        <f>INDEX(lkupGroupGame[],MATCH(tblGroupMatch[[#This Row],[Euro_Match_Number]],lkupGroupGame[Euro_Match_Number],0),MATCH(tblGroupMatch[[#Headers],[Match_Date]],lkupGroupGame[#Headers],0))</f>
        <v>44370</v>
      </c>
      <c r="J37" s="53">
        <f>INDEX(lkupGroupGame[],MATCH(tblGroupMatch[[#This Row],[Euro_Match_Number]],lkupGroupGame[Euro_Match_Number],0),MATCH(tblGroupMatch[[#Headers],[Match_Time_UK]],lkupGroupGame[#Headers],0))</f>
        <v>0.70833333333333337</v>
      </c>
      <c r="K37" s="53">
        <f>INDEX(lkupGroupGame[],MATCH(tblGroupMatch[[#This Row],[Euro_Match_Number]],lkupGroupGame[Euro_Match_Number],0),MATCH(tblGroupMatch[[#Headers],[Venue_Number]],lkupGroupGame[#Headers],0))</f>
        <v>7</v>
      </c>
      <c r="L37" s="53" t="str">
        <f>INDEX(lkupGroupGame[],MATCH(tblGroupMatch[[#This Row],[Euro_Match_Number]],lkupGroupGame[Euro_Match_Number],0),MATCH(tblGroupMatch[[#Headers],[TV_Station]],lkupGroupGame[#Headers],0))</f>
        <v>iTV</v>
      </c>
      <c r="M37" s="53" t="b">
        <f>AND(LEN(tblGroupMatch[[#This Row],[Team A Goals]])&gt;0,LEN(tblGroupMatch[[#This Row],[Team B Goals]])&gt;0,LEN(tblGroupMatch[[#This Row],[Team A YCs]])&gt;0,LEN(tblGroupMatch[[#This Row],[Team A RCs]])&gt;0,LEN(tblGroupMatch[[#This Row],[Team B Ycs]])&gt;0,LEN(tblGroupMatch[[#This Row],[Team B RCs]])&gt;0)</f>
        <v>0</v>
      </c>
      <c r="N37" s="53" t="b">
        <f>AND(tblGroupMatch[[#This Row],[Is_Complete]],OR(tblGroupMatch[[#This Row],[Team A Goals]]&gt;tblGroupMatch[[#This Row],[Team B Goals]],tblGroupMatch[[#This Row],[Team B Goals]]&gt;tblGroupMatch[[#This Row],[Team A Goals]]))</f>
        <v>0</v>
      </c>
      <c r="O37" s="53" t="str">
        <f>IF(tblGroupMatch[[#This Row],[Is_Complete]],IF(NOT(tblGroupMatch[[#This Row],[Is_Win]]),1,IF(tblGroupMatch[[#This Row],[Team A Goals]]&gt;tblGroupMatch[[#This Row],[Team B Goals]],3,0)),"")</f>
        <v/>
      </c>
      <c r="P37" s="53" t="str">
        <f>IF(tblGroupMatch[[#This Row],[Is_Complete]],IF(NOT(tblGroupMatch[[#This Row],[Is_Win]]),1,IF(tblGroupMatch[[#This Row],[Home_Points]]=0,3,0)),"")</f>
        <v/>
      </c>
      <c r="Q37" s="99">
        <f>tblGroupMatch[[#This Row],[Euro_Match_Number]]</f>
        <v>33</v>
      </c>
      <c r="R37" s="99" t="str">
        <f>tblGroupMatch[[#This Row],[Group_Code]]</f>
        <v>E</v>
      </c>
      <c r="S37" s="100">
        <f>SUM(tblGroupMatch[[#This Row],[Match_Date]],tblGroupMatch[[#This Row],[Match_Time_UK]])</f>
        <v>44370.708333333336</v>
      </c>
      <c r="T37" s="99" t="str">
        <f>INDEX(lkupVenue[],MATCH(tblGroupMatch[[#This Row],[Venue_Number]],lkupVenue[Venue_Number],0),MATCH("Venue_Short",lkupVenue[#Headers],0))</f>
        <v>La Cartuja (SPA)</v>
      </c>
      <c r="U37" s="99" t="str">
        <f>INDEX(lkupTeam[],MATCH(tblGroupMatch[[#This Row],[Home_Team_Number]],lkupTeam[Team_Number],0),MATCH("Team",lkupTeam[#Headers],0))</f>
        <v>Slovakia</v>
      </c>
      <c r="V37" s="101"/>
      <c r="W37" s="101"/>
      <c r="X37" s="101"/>
      <c r="Y37" s="101"/>
      <c r="Z37" s="99" t="str">
        <f>INDEX(lkupTeam[],MATCH(tblGroupMatch[[#This Row],[Away_Team_Number]],lkupTeam[Team_Number],0),MATCH("Team",lkupTeam[#Headers],0))</f>
        <v>Spain</v>
      </c>
      <c r="AA37" s="101"/>
      <c r="AB37" s="101"/>
      <c r="AC37" s="101"/>
      <c r="AD37" s="101"/>
    </row>
    <row r="38" spans="2:30" x14ac:dyDescent="0.25">
      <c r="B38" s="54">
        <v>34</v>
      </c>
      <c r="C38" s="53" t="str">
        <f>INDEX(lkupGroupGame[],MATCH(tblGroupMatch[[#This Row],[Euro_Match_Number]],lkupGroupGame[Euro_Match_Number],0),MATCH(tblGroupMatch[[#Headers],[Group_Code]],lkupGroupGame[#Headers],0))</f>
        <v>E</v>
      </c>
      <c r="D38" s="53">
        <f>INDEX(lkupGroupGame[],MATCH(tblGroupMatch[[#This Row],[Euro_Match_Number]],lkupGroupGame[Euro_Match_Number],0),MATCH(tblGroupMatch[[#Headers],[Home_Group_Number]],lkupGroupGame[#Headers],0))</f>
        <v>4</v>
      </c>
      <c r="E38" s="53">
        <f>INDEX(lkupGroupGame[],MATCH(tblGroupMatch[[#This Row],[Euro_Match_Number]],lkupGroupGame[Euro_Match_Number],0),MATCH(tblGroupMatch[[#Headers],[Away_Group_Number]],lkupGroupGame[#Headers],0))</f>
        <v>1</v>
      </c>
      <c r="F38" s="53">
        <f>INDEX(lkupTeam[],MATCH(tblGroupMatch[[#This Row],[Group_Code]]&amp;tblGroupMatch[[#This Row],[Home_Group_Number]],lkupTeam[Team_Code],0),MATCH("Team_Number",lkupTeam[#Headers],0))</f>
        <v>20</v>
      </c>
      <c r="G38" s="53">
        <f>INDEX(lkupTeam[],MATCH(tblGroupMatch[[#This Row],[Group_Code]]&amp;tblGroupMatch[[#This Row],[Away_Group_Number]],lkupTeam[Team_Code],0),MATCH("Team_Number",lkupTeam[#Headers],0))</f>
        <v>17</v>
      </c>
      <c r="H38" s="53" t="str">
        <f>tblGroupMatch[[#This Row],[Group_Code]]&amp;MIN(tblGroupMatch[[#This Row],[Home_Group_Number]:[Away_Group_Number]])&amp;MAX(tblGroupMatch[[#This Row],[Home_Group_Number]:[Away_Group_Number]])</f>
        <v>E14</v>
      </c>
      <c r="I38" s="53">
        <f>INDEX(lkupGroupGame[],MATCH(tblGroupMatch[[#This Row],[Euro_Match_Number]],lkupGroupGame[Euro_Match_Number],0),MATCH(tblGroupMatch[[#Headers],[Match_Date]],lkupGroupGame[#Headers],0))</f>
        <v>44370</v>
      </c>
      <c r="J38" s="53">
        <f>INDEX(lkupGroupGame[],MATCH(tblGroupMatch[[#This Row],[Euro_Match_Number]],lkupGroupGame[Euro_Match_Number],0),MATCH(tblGroupMatch[[#Headers],[Match_Time_UK]],lkupGroupGame[#Headers],0))</f>
        <v>0.70833333333333337</v>
      </c>
      <c r="K38" s="53">
        <f>INDEX(lkupGroupGame[],MATCH(tblGroupMatch[[#This Row],[Euro_Match_Number]],lkupGroupGame[Euro_Match_Number],0),MATCH(tblGroupMatch[[#Headers],[Venue_Number]],lkupGroupGame[#Headers],0))</f>
        <v>5</v>
      </c>
      <c r="L38" s="53" t="str">
        <f>INDEX(lkupGroupGame[],MATCH(tblGroupMatch[[#This Row],[Euro_Match_Number]],lkupGroupGame[Euro_Match_Number],0),MATCH(tblGroupMatch[[#Headers],[TV_Station]],lkupGroupGame[#Headers],0))</f>
        <v>iTV</v>
      </c>
      <c r="M38" s="53" t="b">
        <f>AND(LEN(tblGroupMatch[[#This Row],[Team A Goals]])&gt;0,LEN(tblGroupMatch[[#This Row],[Team B Goals]])&gt;0,LEN(tblGroupMatch[[#This Row],[Team A YCs]])&gt;0,LEN(tblGroupMatch[[#This Row],[Team A RCs]])&gt;0,LEN(tblGroupMatch[[#This Row],[Team B Ycs]])&gt;0,LEN(tblGroupMatch[[#This Row],[Team B RCs]])&gt;0)</f>
        <v>0</v>
      </c>
      <c r="N38" s="53" t="b">
        <f>AND(tblGroupMatch[[#This Row],[Is_Complete]],OR(tblGroupMatch[[#This Row],[Team A Goals]]&gt;tblGroupMatch[[#This Row],[Team B Goals]],tblGroupMatch[[#This Row],[Team B Goals]]&gt;tblGroupMatch[[#This Row],[Team A Goals]]))</f>
        <v>0</v>
      </c>
      <c r="O38" s="53" t="str">
        <f>IF(tblGroupMatch[[#This Row],[Is_Complete]],IF(NOT(tblGroupMatch[[#This Row],[Is_Win]]),1,IF(tblGroupMatch[[#This Row],[Team A Goals]]&gt;tblGroupMatch[[#This Row],[Team B Goals]],3,0)),"")</f>
        <v/>
      </c>
      <c r="P38" s="53" t="str">
        <f>IF(tblGroupMatch[[#This Row],[Is_Complete]],IF(NOT(tblGroupMatch[[#This Row],[Is_Win]]),1,IF(tblGroupMatch[[#This Row],[Home_Points]]=0,3,0)),"")</f>
        <v/>
      </c>
      <c r="Q38" s="99">
        <f>tblGroupMatch[[#This Row],[Euro_Match_Number]]</f>
        <v>34</v>
      </c>
      <c r="R38" s="99" t="str">
        <f>tblGroupMatch[[#This Row],[Group_Code]]</f>
        <v>E</v>
      </c>
      <c r="S38" s="100">
        <f>SUM(tblGroupMatch[[#This Row],[Match_Date]],tblGroupMatch[[#This Row],[Match_Time_UK]])</f>
        <v>44370.708333333336</v>
      </c>
      <c r="T38" s="99" t="str">
        <f>INDEX(lkupVenue[],MATCH(tblGroupMatch[[#This Row],[Venue_Number]],lkupVenue[Venue_Number],0),MATCH("Venue_Short",lkupVenue[#Headers],0))</f>
        <v>Krestovsky Stadium (RUS)</v>
      </c>
      <c r="U38" s="99" t="str">
        <f>INDEX(lkupTeam[],MATCH(tblGroupMatch[[#This Row],[Home_Team_Number]],lkupTeam[Team_Number],0),MATCH("Team",lkupTeam[#Headers],0))</f>
        <v>Sweden</v>
      </c>
      <c r="V38" s="101"/>
      <c r="W38" s="101"/>
      <c r="X38" s="101"/>
      <c r="Y38" s="101"/>
      <c r="Z38" s="99" t="str">
        <f>INDEX(lkupTeam[],MATCH(tblGroupMatch[[#This Row],[Away_Team_Number]],lkupTeam[Team_Number],0),MATCH("Team",lkupTeam[#Headers],0))</f>
        <v>Poland</v>
      </c>
      <c r="AA38" s="101"/>
      <c r="AB38" s="101"/>
      <c r="AC38" s="101"/>
      <c r="AD38" s="101"/>
    </row>
    <row r="39" spans="2:30" x14ac:dyDescent="0.25">
      <c r="B39" s="54">
        <v>35</v>
      </c>
      <c r="C39" s="53" t="str">
        <f>INDEX(lkupGroupGame[],MATCH(tblGroupMatch[[#This Row],[Euro_Match_Number]],lkupGroupGame[Euro_Match_Number],0),MATCH(tblGroupMatch[[#Headers],[Group_Code]],lkupGroupGame[#Headers],0))</f>
        <v>F</v>
      </c>
      <c r="D39" s="53">
        <f>INDEX(lkupGroupGame[],MATCH(tblGroupMatch[[#This Row],[Euro_Match_Number]],lkupGroupGame[Euro_Match_Number],0),MATCH(tblGroupMatch[[#Headers],[Home_Group_Number]],lkupGroupGame[#Headers],0))</f>
        <v>2</v>
      </c>
      <c r="E39" s="53">
        <f>INDEX(lkupGroupGame[],MATCH(tblGroupMatch[[#This Row],[Euro_Match_Number]],lkupGroupGame[Euro_Match_Number],0),MATCH(tblGroupMatch[[#Headers],[Away_Group_Number]],lkupGroupGame[#Headers],0))</f>
        <v>3</v>
      </c>
      <c r="F39" s="53">
        <f>INDEX(lkupTeam[],MATCH(tblGroupMatch[[#This Row],[Group_Code]]&amp;tblGroupMatch[[#This Row],[Home_Group_Number]],lkupTeam[Team_Code],0),MATCH("Team_Number",lkupTeam[#Headers],0))</f>
        <v>22</v>
      </c>
      <c r="G39" s="53">
        <f>INDEX(lkupTeam[],MATCH(tblGroupMatch[[#This Row],[Group_Code]]&amp;tblGroupMatch[[#This Row],[Away_Group_Number]],lkupTeam[Team_Code],0),MATCH("Team_Number",lkupTeam[#Headers],0))</f>
        <v>23</v>
      </c>
      <c r="H39" s="53" t="str">
        <f>tblGroupMatch[[#This Row],[Group_Code]]&amp;MIN(tblGroupMatch[[#This Row],[Home_Group_Number]:[Away_Group_Number]])&amp;MAX(tblGroupMatch[[#This Row],[Home_Group_Number]:[Away_Group_Number]])</f>
        <v>F23</v>
      </c>
      <c r="I39" s="53">
        <f>INDEX(lkupGroupGame[],MATCH(tblGroupMatch[[#This Row],[Euro_Match_Number]],lkupGroupGame[Euro_Match_Number],0),MATCH(tblGroupMatch[[#Headers],[Match_Date]],lkupGroupGame[#Headers],0))</f>
        <v>44370</v>
      </c>
      <c r="J39" s="53">
        <f>INDEX(lkupGroupGame[],MATCH(tblGroupMatch[[#This Row],[Euro_Match_Number]],lkupGroupGame[Euro_Match_Number],0),MATCH(tblGroupMatch[[#Headers],[Match_Time_UK]],lkupGroupGame[#Headers],0))</f>
        <v>0.83333333333333337</v>
      </c>
      <c r="K39" s="53">
        <f>INDEX(lkupGroupGame[],MATCH(tblGroupMatch[[#This Row],[Euro_Match_Number]],lkupGroupGame[Euro_Match_Number],0),MATCH(tblGroupMatch[[#Headers],[Venue_Number]],lkupGroupGame[#Headers],0))</f>
        <v>6</v>
      </c>
      <c r="L39" s="53" t="str">
        <f>INDEX(lkupGroupGame[],MATCH(tblGroupMatch[[#This Row],[Euro_Match_Number]],lkupGroupGame[Euro_Match_Number],0),MATCH(tblGroupMatch[[#Headers],[TV_Station]],lkupGroupGame[#Headers],0))</f>
        <v>BBC</v>
      </c>
      <c r="M39" s="53" t="b">
        <f>AND(LEN(tblGroupMatch[[#This Row],[Team A Goals]])&gt;0,LEN(tblGroupMatch[[#This Row],[Team B Goals]])&gt;0,LEN(tblGroupMatch[[#This Row],[Team A YCs]])&gt;0,LEN(tblGroupMatch[[#This Row],[Team A RCs]])&gt;0,LEN(tblGroupMatch[[#This Row],[Team B Ycs]])&gt;0,LEN(tblGroupMatch[[#This Row],[Team B RCs]])&gt;0)</f>
        <v>0</v>
      </c>
      <c r="N39" s="53" t="b">
        <f>AND(tblGroupMatch[[#This Row],[Is_Complete]],OR(tblGroupMatch[[#This Row],[Team A Goals]]&gt;tblGroupMatch[[#This Row],[Team B Goals]],tblGroupMatch[[#This Row],[Team B Goals]]&gt;tblGroupMatch[[#This Row],[Team A Goals]]))</f>
        <v>0</v>
      </c>
      <c r="O39" s="53" t="str">
        <f>IF(tblGroupMatch[[#This Row],[Is_Complete]],IF(NOT(tblGroupMatch[[#This Row],[Is_Win]]),1,IF(tblGroupMatch[[#This Row],[Team A Goals]]&gt;tblGroupMatch[[#This Row],[Team B Goals]],3,0)),"")</f>
        <v/>
      </c>
      <c r="P39" s="53" t="str">
        <f>IF(tblGroupMatch[[#This Row],[Is_Complete]],IF(NOT(tblGroupMatch[[#This Row],[Is_Win]]),1,IF(tblGroupMatch[[#This Row],[Home_Points]]=0,3,0)),"")</f>
        <v/>
      </c>
      <c r="Q39" s="99">
        <f>tblGroupMatch[[#This Row],[Euro_Match_Number]]</f>
        <v>35</v>
      </c>
      <c r="R39" s="99" t="str">
        <f>tblGroupMatch[[#This Row],[Group_Code]]</f>
        <v>F</v>
      </c>
      <c r="S39" s="100">
        <f>SUM(tblGroupMatch[[#This Row],[Match_Date]],tblGroupMatch[[#This Row],[Match_Time_UK]])</f>
        <v>44370.833333333336</v>
      </c>
      <c r="T39" s="99" t="str">
        <f>INDEX(lkupVenue[],MATCH(tblGroupMatch[[#This Row],[Venue_Number]],lkupVenue[Venue_Number],0),MATCH("Venue_Short",lkupVenue[#Headers],0))</f>
        <v>Puskas Arena (HUN)</v>
      </c>
      <c r="U39" s="99" t="str">
        <f>INDEX(lkupTeam[],MATCH(tblGroupMatch[[#This Row],[Home_Team_Number]],lkupTeam[Team_Number],0),MATCH("Team",lkupTeam[#Headers],0))</f>
        <v>Portugal</v>
      </c>
      <c r="V39" s="101"/>
      <c r="W39" s="101"/>
      <c r="X39" s="101"/>
      <c r="Y39" s="101"/>
      <c r="Z39" s="99" t="str">
        <f>INDEX(lkupTeam[],MATCH(tblGroupMatch[[#This Row],[Away_Team_Number]],lkupTeam[Team_Number],0),MATCH("Team",lkupTeam[#Headers],0))</f>
        <v>France</v>
      </c>
      <c r="AA39" s="101"/>
      <c r="AB39" s="101"/>
      <c r="AC39" s="101"/>
      <c r="AD39" s="101"/>
    </row>
    <row r="40" spans="2:30" x14ac:dyDescent="0.25">
      <c r="B40" s="54">
        <v>36</v>
      </c>
      <c r="C40" s="53" t="str">
        <f>INDEX(lkupGroupGame[],MATCH(tblGroupMatch[[#This Row],[Euro_Match_Number]],lkupGroupGame[Euro_Match_Number],0),MATCH(tblGroupMatch[[#Headers],[Group_Code]],lkupGroupGame[#Headers],0))</f>
        <v>F</v>
      </c>
      <c r="D40" s="53">
        <f>INDEX(lkupGroupGame[],MATCH(tblGroupMatch[[#This Row],[Euro_Match_Number]],lkupGroupGame[Euro_Match_Number],0),MATCH(tblGroupMatch[[#Headers],[Home_Group_Number]],lkupGroupGame[#Headers],0))</f>
        <v>4</v>
      </c>
      <c r="E40" s="53">
        <f>INDEX(lkupGroupGame[],MATCH(tblGroupMatch[[#This Row],[Euro_Match_Number]],lkupGroupGame[Euro_Match_Number],0),MATCH(tblGroupMatch[[#Headers],[Away_Group_Number]],lkupGroupGame[#Headers],0))</f>
        <v>1</v>
      </c>
      <c r="F40" s="53">
        <f>INDEX(lkupTeam[],MATCH(tblGroupMatch[[#This Row],[Group_Code]]&amp;tblGroupMatch[[#This Row],[Home_Group_Number]],lkupTeam[Team_Code],0),MATCH("Team_Number",lkupTeam[#Headers],0))</f>
        <v>24</v>
      </c>
      <c r="G40" s="53">
        <f>INDEX(lkupTeam[],MATCH(tblGroupMatch[[#This Row],[Group_Code]]&amp;tblGroupMatch[[#This Row],[Away_Group_Number]],lkupTeam[Team_Code],0),MATCH("Team_Number",lkupTeam[#Headers],0))</f>
        <v>21</v>
      </c>
      <c r="H40" s="53" t="str">
        <f>tblGroupMatch[[#This Row],[Group_Code]]&amp;MIN(tblGroupMatch[[#This Row],[Home_Group_Number]:[Away_Group_Number]])&amp;MAX(tblGroupMatch[[#This Row],[Home_Group_Number]:[Away_Group_Number]])</f>
        <v>F14</v>
      </c>
      <c r="I40" s="53">
        <f>INDEX(lkupGroupGame[],MATCH(tblGroupMatch[[#This Row],[Euro_Match_Number]],lkupGroupGame[Euro_Match_Number],0),MATCH(tblGroupMatch[[#Headers],[Match_Date]],lkupGroupGame[#Headers],0))</f>
        <v>44370</v>
      </c>
      <c r="J40" s="53">
        <f>INDEX(lkupGroupGame[],MATCH(tblGroupMatch[[#This Row],[Euro_Match_Number]],lkupGroupGame[Euro_Match_Number],0),MATCH(tblGroupMatch[[#Headers],[Match_Time_UK]],lkupGroupGame[#Headers],0))</f>
        <v>0.83333333333333337</v>
      </c>
      <c r="K40" s="53">
        <f>INDEX(lkupGroupGame[],MATCH(tblGroupMatch[[#This Row],[Euro_Match_Number]],lkupGroupGame[Euro_Match_Number],0),MATCH(tblGroupMatch[[#Headers],[Venue_Number]],lkupGroupGame[#Headers],0))</f>
        <v>3</v>
      </c>
      <c r="L40" s="53" t="str">
        <f>INDEX(lkupGroupGame[],MATCH(tblGroupMatch[[#This Row],[Euro_Match_Number]],lkupGroupGame[Euro_Match_Number],0),MATCH(tblGroupMatch[[#Headers],[TV_Station]],lkupGroupGame[#Headers],0))</f>
        <v>BBC</v>
      </c>
      <c r="M40" s="53" t="b">
        <f>AND(LEN(tblGroupMatch[[#This Row],[Team A Goals]])&gt;0,LEN(tblGroupMatch[[#This Row],[Team B Goals]])&gt;0,LEN(tblGroupMatch[[#This Row],[Team A YCs]])&gt;0,LEN(tblGroupMatch[[#This Row],[Team A RCs]])&gt;0,LEN(tblGroupMatch[[#This Row],[Team B Ycs]])&gt;0,LEN(tblGroupMatch[[#This Row],[Team B RCs]])&gt;0)</f>
        <v>0</v>
      </c>
      <c r="N40" s="53" t="b">
        <f>AND(tblGroupMatch[[#This Row],[Is_Complete]],OR(tblGroupMatch[[#This Row],[Team A Goals]]&gt;tblGroupMatch[[#This Row],[Team B Goals]],tblGroupMatch[[#This Row],[Team B Goals]]&gt;tblGroupMatch[[#This Row],[Team A Goals]]))</f>
        <v>0</v>
      </c>
      <c r="O40" s="53" t="str">
        <f>IF(tblGroupMatch[[#This Row],[Is_Complete]],IF(NOT(tblGroupMatch[[#This Row],[Is_Win]]),1,IF(tblGroupMatch[[#This Row],[Team A Goals]]&gt;tblGroupMatch[[#This Row],[Team B Goals]],3,0)),"")</f>
        <v/>
      </c>
      <c r="P40" s="53" t="str">
        <f>IF(tblGroupMatch[[#This Row],[Is_Complete]],IF(NOT(tblGroupMatch[[#This Row],[Is_Win]]),1,IF(tblGroupMatch[[#This Row],[Home_Points]]=0,3,0)),"")</f>
        <v/>
      </c>
      <c r="Q40" s="99">
        <f>tblGroupMatch[[#This Row],[Euro_Match_Number]]</f>
        <v>36</v>
      </c>
      <c r="R40" s="99" t="str">
        <f>tblGroupMatch[[#This Row],[Group_Code]]</f>
        <v>F</v>
      </c>
      <c r="S40" s="100">
        <f>SUM(tblGroupMatch[[#This Row],[Match_Date]],tblGroupMatch[[#This Row],[Match_Time_UK]])</f>
        <v>44370.833333333336</v>
      </c>
      <c r="T40" s="99" t="str">
        <f>INDEX(lkupVenue[],MATCH(tblGroupMatch[[#This Row],[Venue_Number]],lkupVenue[Venue_Number],0),MATCH("Venue_Short",lkupVenue[#Headers],0))</f>
        <v>Allianz Arena (GER)</v>
      </c>
      <c r="U40" s="99" t="str">
        <f>INDEX(lkupTeam[],MATCH(tblGroupMatch[[#This Row],[Home_Team_Number]],lkupTeam[Team_Number],0),MATCH("Team",lkupTeam[#Headers],0))</f>
        <v>Germany</v>
      </c>
      <c r="V40" s="101"/>
      <c r="W40" s="101"/>
      <c r="X40" s="101"/>
      <c r="Y40" s="101"/>
      <c r="Z40" s="99" t="str">
        <f>INDEX(lkupTeam[],MATCH(tblGroupMatch[[#This Row],[Away_Team_Number]],lkupTeam[Team_Number],0),MATCH("Team",lkupTeam[#Headers],0))</f>
        <v>Hungary</v>
      </c>
      <c r="AA40" s="101"/>
      <c r="AB40" s="101"/>
      <c r="AC40" s="101"/>
      <c r="AD40" s="101"/>
    </row>
  </sheetData>
  <sheetProtection algorithmName="SHA-512" hashValue="60SAgfvS+WkCMTfW6djyZuGbCNBuxqsc7YNAGTMfCV9mlnJadPUFohCWgLWb1INPxIwl5DzCXJqONG3qTDurWg==" saltValue="w5IY7RoP2UP6LPd2BBUYWQ==" spinCount="100000" sheet="1" objects="1" scenarios="1" selectLockedCells="1"/>
  <phoneticPr fontId="2" type="noConversion"/>
  <conditionalFormatting sqref="V5:X40 AA5:AC40">
    <cfRule type="expression" dxfId="48" priority="1">
      <formula>$M5</formula>
    </cfRule>
    <cfRule type="expression" dxfId="47" priority="2">
      <formula>LEN($V5)&gt;0</formula>
    </cfRule>
  </conditionalFormatting>
  <dataValidations count="1">
    <dataValidation type="whole" allowBlank="1" showErrorMessage="1" errorTitle="Incorrect Value" error="This cell will only accept a whole number between 0 &amp; 50." sqref="V5:Y40 AA5:AD40" xr:uid="{335D9300-DAF1-4408-A96F-FB1F56439959}">
      <formula1>0</formula1>
      <formula2>50</formula2>
    </dataValidation>
  </dataValidations>
  <hyperlinks>
    <hyperlink ref="AD2" location="'Index &amp; Summary'!A1" display="Index" xr:uid="{79DDC75A-5449-4E4C-B5DD-B33F75C93785}"/>
  </hyperlink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D4C9B-2048-4B45-AC1C-44F5141A6B4D}">
  <dimension ref="B2:AK29"/>
  <sheetViews>
    <sheetView showRowColHeaders="0" zoomScale="85" zoomScaleNormal="85" workbookViewId="0">
      <pane xSplit="50" ySplit="43" topLeftCell="AY44" activePane="bottomRight" state="frozenSplit"/>
      <selection pane="topRight" activeCell="AY1" sqref="AY1"/>
      <selection pane="bottomLeft" activeCell="A44" sqref="A44"/>
      <selection pane="bottomRight" activeCell="AE8" sqref="AE8"/>
    </sheetView>
  </sheetViews>
  <sheetFormatPr defaultRowHeight="15" x14ac:dyDescent="0.25"/>
  <cols>
    <col min="1" max="1" width="5.42578125" style="54" customWidth="1"/>
    <col min="2" max="2" width="22" style="54" hidden="1" customWidth="1"/>
    <col min="3" max="3" width="22.5703125" style="54" hidden="1" customWidth="1"/>
    <col min="4" max="4" width="15.85546875" style="54" hidden="1" customWidth="1"/>
    <col min="5" max="5" width="22.5703125" style="54" hidden="1" customWidth="1"/>
    <col min="6" max="6" width="18.85546875" style="54" hidden="1" customWidth="1"/>
    <col min="7" max="10" width="23.28515625" style="54" hidden="1" customWidth="1"/>
    <col min="11" max="11" width="20.85546875" style="54" hidden="1" customWidth="1"/>
    <col min="12" max="14" width="18.5703125" style="54" hidden="1" customWidth="1"/>
    <col min="15" max="15" width="24.5703125" style="54" hidden="1" customWidth="1"/>
    <col min="16" max="18" width="15.7109375" style="54" hidden="1" customWidth="1"/>
    <col min="19" max="19" width="18.42578125" style="54" hidden="1" customWidth="1"/>
    <col min="20" max="20" width="24.5703125" style="54" hidden="1" customWidth="1"/>
    <col min="21" max="21" width="16.7109375" style="54" hidden="1" customWidth="1" collapsed="1"/>
    <col min="22" max="22" width="15.7109375" style="54" hidden="1" customWidth="1"/>
    <col min="23" max="23" width="27.7109375" style="54" hidden="1" customWidth="1"/>
    <col min="24" max="24" width="46.5703125" style="54" hidden="1" customWidth="1"/>
    <col min="25" max="25" width="15.7109375" style="54" hidden="1" customWidth="1"/>
    <col min="26" max="26" width="16.7109375" style="54" bestFit="1" customWidth="1"/>
    <col min="27" max="27" width="13.42578125" style="54" bestFit="1" customWidth="1"/>
    <col min="28" max="28" width="25.5703125" style="54" bestFit="1" customWidth="1"/>
    <col min="29" max="29" width="24.5703125" style="54" bestFit="1" customWidth="1"/>
    <col min="30" max="30" width="21.42578125" style="54" customWidth="1"/>
    <col min="31" max="33" width="11.28515625" style="54" customWidth="1"/>
    <col min="34" max="34" width="21.42578125" style="54" customWidth="1"/>
    <col min="35" max="37" width="11.28515625" style="54" customWidth="1"/>
    <col min="38" max="16384" width="9.140625" style="54"/>
  </cols>
  <sheetData>
    <row r="2" spans="2:37" x14ac:dyDescent="0.25">
      <c r="AK2" s="103" t="s">
        <v>504</v>
      </c>
    </row>
    <row r="4" spans="2:37" ht="16.5" customHeight="1" x14ac:dyDescent="0.25"/>
    <row r="5" spans="2:37" s="161" customFormat="1" ht="30.75" x14ac:dyDescent="0.3">
      <c r="B5" s="161" t="s">
        <v>41</v>
      </c>
      <c r="C5" s="161" t="s">
        <v>432</v>
      </c>
      <c r="D5" s="161" t="s">
        <v>433</v>
      </c>
      <c r="E5" s="161" t="s">
        <v>434</v>
      </c>
      <c r="F5" s="161" t="s">
        <v>435</v>
      </c>
      <c r="G5" s="161" t="s">
        <v>493</v>
      </c>
      <c r="H5" s="161" t="s">
        <v>465</v>
      </c>
      <c r="I5" s="161" t="s">
        <v>466</v>
      </c>
      <c r="J5" s="161" t="s">
        <v>463</v>
      </c>
      <c r="K5" s="161" t="s">
        <v>464</v>
      </c>
      <c r="L5" s="161" t="s">
        <v>436</v>
      </c>
      <c r="M5" s="161" t="s">
        <v>437</v>
      </c>
      <c r="N5" s="161" t="s">
        <v>149</v>
      </c>
      <c r="O5" s="161" t="s">
        <v>455</v>
      </c>
      <c r="P5" s="161" t="s">
        <v>146</v>
      </c>
      <c r="Q5" s="161" t="s">
        <v>147</v>
      </c>
      <c r="R5" s="161" t="s">
        <v>441</v>
      </c>
      <c r="S5" s="161" t="s">
        <v>445</v>
      </c>
      <c r="T5" s="161" t="s">
        <v>446</v>
      </c>
      <c r="U5" s="161" t="s">
        <v>447</v>
      </c>
      <c r="V5" s="161" t="s">
        <v>192</v>
      </c>
      <c r="W5" s="161" t="s">
        <v>449</v>
      </c>
      <c r="X5" s="161" t="s">
        <v>450</v>
      </c>
      <c r="Y5" s="161" t="s">
        <v>448</v>
      </c>
      <c r="Z5" s="162" t="s">
        <v>148</v>
      </c>
      <c r="AA5" s="162" t="s">
        <v>462</v>
      </c>
      <c r="AB5" s="162" t="s">
        <v>189</v>
      </c>
      <c r="AC5" s="162" t="s">
        <v>177</v>
      </c>
      <c r="AD5" s="162" t="s">
        <v>178</v>
      </c>
      <c r="AE5" s="162" t="s">
        <v>179</v>
      </c>
      <c r="AF5" s="162" t="s">
        <v>443</v>
      </c>
      <c r="AG5" s="162" t="s">
        <v>182</v>
      </c>
      <c r="AH5" s="162" t="s">
        <v>183</v>
      </c>
      <c r="AI5" s="162" t="s">
        <v>184</v>
      </c>
      <c r="AJ5" s="162" t="s">
        <v>444</v>
      </c>
      <c r="AK5" s="162" t="s">
        <v>187</v>
      </c>
    </row>
    <row r="6" spans="2:37" ht="16.5" x14ac:dyDescent="0.3">
      <c r="B6" s="54">
        <v>38</v>
      </c>
      <c r="C6" s="54" t="s">
        <v>197</v>
      </c>
      <c r="D6" s="54" t="b">
        <v>0</v>
      </c>
      <c r="E6" s="54" t="s">
        <v>220</v>
      </c>
      <c r="F6" s="54" t="str">
        <f>IF(tblRound16[[#This Row],[Is_Third_Place]],INDEX(tblThirdPlaceSequence[],MATCH(TRUE,tblThirdPlaceSequence[Is_Sequence],0),MATCH(tblRound16[[#This Row],[Table_Rank_Code_1]],tblThirdPlaceSequence[#Headers],0)),"")</f>
        <v/>
      </c>
      <c r="H6" s="54" t="b">
        <f ca="1">SUM(INDIRECT("tblGroup"&amp;LEFT(tblRound16[[#This Row],[Table_Rank_Code_1]],1)&amp;"[Table_Played]"))=12</f>
        <v>0</v>
      </c>
      <c r="I6" s="54" t="b">
        <f ca="1">IF(tblRound16[[#This Row],[Is_Third_Place]],tblGroupThirdPlace[[#Totals],[Table_Played]]=18,SUM(INDIRECT("tblGroup"&amp;LEFT(tblRound16[[#This Row],[Table_Rank_Code_2]],1)&amp;"[Table_Played]"))=12)</f>
        <v>0</v>
      </c>
      <c r="J6" s="54" t="str">
        <f>_xlfn.TEXTJOIN(" ",TRUE,IF(RIGHT(tblRound16[[#This Row],[Table_Rank_Code_1]],1)="1","Winner",IF(RIGHT(tblRound16[[#This Row],[Table_Rank_Code_1]],1)="2","Runner-Up","3rd")),"Group",LEFT(tblRound16[[#This Row],[Table_Rank_Code_1]],1))</f>
        <v>Runner-Up Group A</v>
      </c>
      <c r="K6" s="54" t="str">
        <f>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Runner-Up Group B</v>
      </c>
      <c r="L6" s="54">
        <f ca="1">INDEX(tblGroupTotals[],MATCH(tblRound16[[#This Row],[Table_Rank_Code_1]],tblGroupTotals[Table_Rank_Code],0),MATCH("Team_Number",tblGroupTotals[#Headers],0))</f>
        <v>4</v>
      </c>
      <c r="M6" s="54">
        <f ca="1">INDEX(tblGroupTotals[],MATCH(IF(tblRound16[[#This Row],[Is_Third_Place]],tblRound16[[#This Row],[Third_Rank_Code]],tblRound16[[#This Row],[Table_Rank_Code_2]]),tblGroupTotals[Table_Rank_Code],0),MATCH("Team_Number",tblGroupTotals[#Headers],0))</f>
        <v>8</v>
      </c>
      <c r="N6" s="54">
        <f>INDEX(lkupRoundGame[],MATCH(tblRound16[[#This Row],[Euro_Match_Number]],lkupRoundGame[Euro_Match_Number],0),MATCH("Venue_Number",lkupRoundGame[#Headers],0))</f>
        <v>9</v>
      </c>
      <c r="O6" s="54" t="str">
        <f>INDEX(lkupRoundGame[],MATCH(tblRound16[[#This Row],[Euro_Match_Number]],lkupRoundGame[Euro_Match_Number],0),MATCH("Round_Name",lkupRoundGame[#Headers],0))</f>
        <v>Round 16</v>
      </c>
      <c r="P6" s="54">
        <f>INDEX(lkupRoundGame[],MATCH(tblRound16[[#This Row],[Euro_Match_Number]],lkupRoundGame[Euro_Match_Number],0),MATCH("Match_Date",lkupRoundGame[#Headers],0))</f>
        <v>44253</v>
      </c>
      <c r="Q6" s="54">
        <f>INDEX(lkupRoundGame[],MATCH(tblRound16[[#This Row],[Euro_Match_Number]],lkupRoundGame[Euro_Match_Number],0),MATCH("Match_Time_UK",lkupRoundGame[#Headers],0))</f>
        <v>0.70833333333333337</v>
      </c>
      <c r="R6" s="54" t="str">
        <f>""&amp;INDEX(lkupRoundGame[],MATCH(tblRound16[[#This Row],[Euro_Match_Number]],lkupRoundGame[Euro_Match_Number],0),MATCH("TV_Station",lkupRoundGame[#Headers],0))</f>
        <v/>
      </c>
      <c r="S6" s="54" t="b">
        <f>AND(LEN(tblRound16[[#This Row],[Team A Goals]])&gt;0,LEN(tblRound16[[#This Row],[Team B Goals]])&gt;0,tblRound16[[#This Row],[Team A Goals]]&lt;&gt;tblRound16[[#This Row],[Team B Goals]])</f>
        <v>0</v>
      </c>
      <c r="T6" s="54" t="b">
        <f>AND(LEN(tblRound16[[#This Row],[Team A AET]])&gt;0,LEN(tblRound16[[#This Row],[Team B AET]])&gt;0,tblRound16[[#This Row],[Team A AET]]&lt;&gt;tblRound16[[#This Row],[Team B AET]])</f>
        <v>0</v>
      </c>
      <c r="U6" s="54" t="b">
        <f>AND(LEN(tblRound16[[#This Row],[Team A Penalties]])&gt;0,LEN(tblRound16[[#This Row],[Team B Penalties]])&gt;0)</f>
        <v>0</v>
      </c>
      <c r="V6" s="54" t="b">
        <f ca="1">AND(OR(tblRound16[[#This Row],[Is_Result_Goals]:[Is_Result_Penalties]]),tblRound16[[#This Row],[Is_Group_Complete_1]],tblRound16[[#This Row],[Is_Group_Complete_2]])</f>
        <v>0</v>
      </c>
      <c r="W6" s="54" t="str">
        <f>IF(tblRound16[[#This Row],[Is_Result_Goals]],tblRound16[[#This Row],[Team A Goals]],IF(tblRound16[[#This Row],[Is_Result_AET]],tblRound16[[#This Row],[Team A AET]],IF(tblRound16[[#This Row],[Is_Result_Penalties]],tblRound16[[#This Row],[Team A Penalties]],"")))</f>
        <v/>
      </c>
      <c r="X6" s="54" t="str">
        <f>IF(tblRound16[[#This Row],[Is_Result_Goals]],tblRound16[[#This Row],[Team B Goals]],IF(tblRound16[[#This Row],[Is_Result_AET]],tblRound16[[#This Row],[Team B AET]],IF(tblRound16[[#This Row],[Is_Result_Penalties]],tblRound16[[#This Row],[Team B Penalties]],"")))</f>
        <v/>
      </c>
      <c r="Y6" s="54" t="str">
        <f ca="1">IF(tblRound16[[#This Row],[Is_Complete]],IF(tblRound16[[#This Row],[Team_1_Value]]&gt;tblRound16[[#This Row],[Team_2_Value]],tblRound16[[#This Row],[Team_1_Number]],tblRound16[[#This Row],[Team_2_Number]]),"")</f>
        <v/>
      </c>
      <c r="Z6" s="95">
        <f>tblRound16[[#This Row],[Euro_Match_Number]]</f>
        <v>38</v>
      </c>
      <c r="AA6" s="95" t="str">
        <f>tblRound16[[#This Row],[Round_Name]]</f>
        <v>Round 16</v>
      </c>
      <c r="AB6" s="95" t="str">
        <f>TEXT(SUM(tblRound16[[#This Row],[Match_Date]],tblRound16[[#This Row],[Match_Time_UK]]),"ddd dd mmm hh:mm")&amp;IF(LEN(tblRound16[[#This Row],[TV_Station]])&gt;0," ("&amp;tblRound16[[#This Row],[TV_Station]]&amp;")","")</f>
        <v>Fri 26 Feb 17:00</v>
      </c>
      <c r="AC6" s="95" t="str">
        <f>INDEX(lkupVenue[],MATCH(tblRound16[[#This Row],[Venue_Number]],lkupVenue[Venue_Number],0),MATCH("Venue_Short",lkupVenue[#Headers],0))</f>
        <v>Johan Cruyff Arena (NET)</v>
      </c>
      <c r="AD6" s="96" t="str">
        <f ca="1">IF(tblRound16[[#This Row],[Is_Group_Complete_1]],INDEX(lkupTeam[],MATCH(tblRound16[[#This Row],[Team_1_Number]],lkupTeam[Team_Number],0),MATCH("Team",lkupTeam[#Headers],0)),tblRound16[[#This Row],[Team_1_Group_Name]])</f>
        <v>Runner-Up Group A</v>
      </c>
      <c r="AE6" s="97"/>
      <c r="AF6" s="97"/>
      <c r="AG6" s="97"/>
      <c r="AH6" s="96" t="str">
        <f ca="1">IF(tblRound16[[#This Row],[Is_Group_Complete_2]],INDEX(lkupTeam[],MATCH(tblRound16[[#This Row],[Team_2_Number]],lkupTeam[Team_Number],0),MATCH("Team",lkupTeam[#Headers],0)),tblRound16[[#This Row],[Team_2_Group_Name]])</f>
        <v>Runner-Up Group B</v>
      </c>
      <c r="AI6" s="97"/>
      <c r="AJ6" s="97"/>
      <c r="AK6" s="97"/>
    </row>
    <row r="7" spans="2:37" ht="16.5" x14ac:dyDescent="0.3">
      <c r="B7" s="54">
        <v>37</v>
      </c>
      <c r="C7" s="54" t="s">
        <v>196</v>
      </c>
      <c r="D7" s="54" t="b">
        <v>0</v>
      </c>
      <c r="E7" s="54" t="s">
        <v>224</v>
      </c>
      <c r="F7" s="54" t="str">
        <f>IF(tblRound16[[#This Row],[Is_Third_Place]],INDEX(tblThirdPlaceSequence[],MATCH(TRUE,tblThirdPlaceSequence[Is_Sequence],0),MATCH(tblRound16[[#This Row],[Table_Rank_Code_1]],tblThirdPlaceSequence[#Headers],0)),"")</f>
        <v/>
      </c>
      <c r="H7" s="54" t="b">
        <f ca="1">SUM(INDIRECT("tblGroup"&amp;LEFT(tblRound16[[#This Row],[Table_Rank_Code_1]],1)&amp;"[Table_Played]"))=12</f>
        <v>0</v>
      </c>
      <c r="I7" s="54" t="b">
        <f ca="1">IF(tblRound16[[#This Row],[Is_Third_Place]],tblGroupThirdPlace[[#Totals],[Table_Played]]=18,SUM(INDIRECT("tblGroup"&amp;LEFT(tblRound16[[#This Row],[Table_Rank_Code_2]],1)&amp;"[Table_Played]"))=12)</f>
        <v>0</v>
      </c>
      <c r="J7" s="54" t="str">
        <f>_xlfn.TEXTJOIN(" ",TRUE,IF(RIGHT(tblRound16[[#This Row],[Table_Rank_Code_1]],1)="1","Winner",IF(RIGHT(tblRound16[[#This Row],[Table_Rank_Code_1]],1)="2","Runner-Up","3rd")),"Group",LEFT(tblRound16[[#This Row],[Table_Rank_Code_1]],1))</f>
        <v>Winner Group A</v>
      </c>
      <c r="K7" s="54" t="str">
        <f>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Runner-Up Group C</v>
      </c>
      <c r="L7" s="54">
        <f ca="1">INDEX(tblGroupTotals[],MATCH(tblRound16[[#This Row],[Table_Rank_Code_1]],tblGroupTotals[Table_Rank_Code],0),MATCH("Team_Number",tblGroupTotals[#Headers],0))</f>
        <v>2</v>
      </c>
      <c r="M7" s="54">
        <f ca="1">INDEX(tblGroupTotals[],MATCH(IF(tblRound16[[#This Row],[Is_Third_Place]],tblRound16[[#This Row],[Third_Rank_Code]],tblRound16[[#This Row],[Table_Rank_Code_2]]),tblGroupTotals[Table_Rank_Code],0),MATCH("Team_Number",tblGroupTotals[#Headers],0))</f>
        <v>11</v>
      </c>
      <c r="N7" s="54">
        <f>INDEX(lkupRoundGame[],MATCH(tblRound16[[#This Row],[Euro_Match_Number]],lkupRoundGame[Euro_Match_Number],0),MATCH("Venue_Number",lkupRoundGame[#Headers],0))</f>
        <v>1</v>
      </c>
      <c r="O7" s="54" t="str">
        <f>INDEX(lkupRoundGame[],MATCH(tblRound16[[#This Row],[Euro_Match_Number]],lkupRoundGame[Euro_Match_Number],0),MATCH("Round_Name",lkupRoundGame[#Headers],0))</f>
        <v>Round 16</v>
      </c>
      <c r="P7" s="54">
        <f>INDEX(lkupRoundGame[],MATCH(tblRound16[[#This Row],[Euro_Match_Number]],lkupRoundGame[Euro_Match_Number],0),MATCH("Match_Date",lkupRoundGame[#Headers],0))</f>
        <v>44373</v>
      </c>
      <c r="Q7" s="54">
        <f>INDEX(lkupRoundGame[],MATCH(tblRound16[[#This Row],[Euro_Match_Number]],lkupRoundGame[Euro_Match_Number],0),MATCH("Match_Time_UK",lkupRoundGame[#Headers],0))</f>
        <v>0.83333333333333337</v>
      </c>
      <c r="R7" s="54" t="str">
        <f>""&amp;INDEX(lkupRoundGame[],MATCH(tblRound16[[#This Row],[Euro_Match_Number]],lkupRoundGame[Euro_Match_Number],0),MATCH("TV_Station",lkupRoundGame[#Headers],0))</f>
        <v/>
      </c>
      <c r="S7" s="54" t="b">
        <f>AND(LEN(tblRound16[[#This Row],[Team A Goals]])&gt;0,LEN(tblRound16[[#This Row],[Team B Goals]])&gt;0,tblRound16[[#This Row],[Team A Goals]]&lt;&gt;tblRound16[[#This Row],[Team B Goals]])</f>
        <v>0</v>
      </c>
      <c r="T7" s="54" t="b">
        <f>AND(LEN(tblRound16[[#This Row],[Team A AET]])&gt;0,LEN(tblRound16[[#This Row],[Team B AET]])&gt;0,tblRound16[[#This Row],[Team A AET]]&lt;&gt;tblRound16[[#This Row],[Team B AET]])</f>
        <v>0</v>
      </c>
      <c r="U7" s="54" t="b">
        <f>AND(LEN(tblRound16[[#This Row],[Team A Penalties]])&gt;0,LEN(tblRound16[[#This Row],[Team B Penalties]])&gt;0)</f>
        <v>0</v>
      </c>
      <c r="V7" s="54" t="b">
        <f ca="1">AND(OR(tblRound16[[#This Row],[Is_Result_Goals]:[Is_Result_Penalties]]),tblRound16[[#This Row],[Is_Group_Complete_1]],tblRound16[[#This Row],[Is_Group_Complete_2]])</f>
        <v>0</v>
      </c>
      <c r="W7" s="54" t="str">
        <f>IF(tblRound16[[#This Row],[Is_Result_Goals]],tblRound16[[#This Row],[Team A Goals]],IF(tblRound16[[#This Row],[Is_Result_AET]],tblRound16[[#This Row],[Team A AET]],IF(tblRound16[[#This Row],[Is_Result_Penalties]],tblRound16[[#This Row],[Team A Penalties]],"")))</f>
        <v/>
      </c>
      <c r="X7" s="54" t="str">
        <f>IF(tblRound16[[#This Row],[Is_Result_Goals]],tblRound16[[#This Row],[Team B Goals]],IF(tblRound16[[#This Row],[Is_Result_AET]],tblRound16[[#This Row],[Team B AET]],IF(tblRound16[[#This Row],[Is_Result_Penalties]],tblRound16[[#This Row],[Team B Penalties]],"")))</f>
        <v/>
      </c>
      <c r="Y7" s="54" t="str">
        <f ca="1">IF(tblRound16[[#This Row],[Is_Complete]],IF(tblRound16[[#This Row],[Team_1_Value]]&gt;tblRound16[[#This Row],[Team_2_Value]],tblRound16[[#This Row],[Team_1_Number]],tblRound16[[#This Row],[Team_2_Number]]),"")</f>
        <v/>
      </c>
      <c r="Z7" s="95">
        <f>tblRound16[[#This Row],[Euro_Match_Number]]</f>
        <v>37</v>
      </c>
      <c r="AA7" s="95" t="str">
        <f>tblRound16[[#This Row],[Round_Name]]</f>
        <v>Round 16</v>
      </c>
      <c r="AB7" s="95" t="str">
        <f>TEXT(SUM(tblRound16[[#This Row],[Match_Date]],tblRound16[[#This Row],[Match_Time_UK]]),"ddd dd mmm hh:mm")&amp;IF(LEN(tblRound16[[#This Row],[TV_Station]])&gt;0," ("&amp;tblRound16[[#This Row],[TV_Station]]&amp;")","")</f>
        <v>Sat 26 Jun 20:00</v>
      </c>
      <c r="AC7" s="95" t="str">
        <f>INDEX(lkupVenue[],MATCH(tblRound16[[#This Row],[Venue_Number]],lkupVenue[Venue_Number],0),MATCH("Venue_Short",lkupVenue[#Headers],0))</f>
        <v>Wembley Stadium (ENG)</v>
      </c>
      <c r="AD7" s="96" t="str">
        <f ca="1">IF(tblRound16[[#This Row],[Is_Group_Complete_1]],INDEX(lkupTeam[],MATCH(tblRound16[[#This Row],[Team_1_Number]],lkupTeam[Team_Number],0),MATCH("Team",lkupTeam[#Headers],0)),tblRound16[[#This Row],[Team_1_Group_Name]])</f>
        <v>Winner Group A</v>
      </c>
      <c r="AE7" s="97"/>
      <c r="AF7" s="97"/>
      <c r="AG7" s="97"/>
      <c r="AH7" s="96" t="str">
        <f ca="1">IF(tblRound16[[#This Row],[Is_Group_Complete_2]],INDEX(lkupTeam[],MATCH(tblRound16[[#This Row],[Team_2_Number]],lkupTeam[Team_Number],0),MATCH("Team",lkupTeam[#Headers],0)),tblRound16[[#This Row],[Team_2_Group_Name]])</f>
        <v>Runner-Up Group C</v>
      </c>
      <c r="AI7" s="97"/>
      <c r="AJ7" s="97"/>
      <c r="AK7" s="97"/>
    </row>
    <row r="8" spans="2:37" ht="16.5" x14ac:dyDescent="0.3">
      <c r="B8" s="54">
        <v>40</v>
      </c>
      <c r="C8" s="54" t="s">
        <v>223</v>
      </c>
      <c r="D8" s="54" t="b">
        <v>1</v>
      </c>
      <c r="F8" s="54" t="str">
        <f ca="1">IF(tblRound16[[#This Row],[Is_Third_Place]],INDEX(tblThirdPlaceSequence[],MATCH(TRUE,tblThirdPlaceSequence[Is_Sequence],0),MATCH(tblRound16[[#This Row],[Table_Rank_Code_1]],tblThirdPlaceSequence[#Headers],0)),"")</f>
        <v>F3</v>
      </c>
      <c r="G8" s="54" t="s">
        <v>497</v>
      </c>
      <c r="H8" s="54" t="b">
        <f ca="1">SUM(INDIRECT("tblGroup"&amp;LEFT(tblRound16[[#This Row],[Table_Rank_Code_1]],1)&amp;"[Table_Played]"))=12</f>
        <v>0</v>
      </c>
      <c r="I8" s="54" t="b">
        <f ca="1">IF(tblRound16[[#This Row],[Is_Third_Place]],tblGroupThirdPlace[[#Totals],[Table_Played]]=18,SUM(INDIRECT("tblGroup"&amp;LEFT(tblRound16[[#This Row],[Table_Rank_Code_2]],1)&amp;"[Table_Played]"))=12)</f>
        <v>0</v>
      </c>
      <c r="J8" s="54" t="str">
        <f>_xlfn.TEXTJOIN(" ",TRUE,IF(RIGHT(tblRound16[[#This Row],[Table_Rank_Code_1]],1)="1","Winner",IF(RIGHT(tblRound16[[#This Row],[Table_Rank_Code_1]],1)="2","Runner-Up","3rd")),"Group",LEFT(tblRound16[[#This Row],[Table_Rank_Code_1]],1))</f>
        <v>Winner Group C</v>
      </c>
      <c r="K8" s="54" t="str">
        <f ca="1">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3rd Group D/E/F</v>
      </c>
      <c r="L8" s="54">
        <f ca="1">INDEX(tblGroupTotals[],MATCH(tblRound16[[#This Row],[Table_Rank_Code_1]],tblGroupTotals[Table_Rank_Code],0),MATCH("Team_Number",tblGroupTotals[#Headers],0))</f>
        <v>12</v>
      </c>
      <c r="M8" s="54">
        <f ca="1">INDEX(tblGroupTotals[],MATCH(IF(tblRound16[[#This Row],[Is_Third_Place]],tblRound16[[#This Row],[Third_Rank_Code]],tblRound16[[#This Row],[Table_Rank_Code_2]]),tblGroupTotals[Table_Rank_Code],0),MATCH("Team_Number",tblGroupTotals[#Headers],0))</f>
        <v>22</v>
      </c>
      <c r="N8" s="54">
        <f>INDEX(lkupRoundGame[],MATCH(tblRound16[[#This Row],[Euro_Match_Number]],lkupRoundGame[Euro_Match_Number],0),MATCH("Venue_Number",lkupRoundGame[#Headers],0))</f>
        <v>6</v>
      </c>
      <c r="O8" s="54" t="str">
        <f>INDEX(lkupRoundGame[],MATCH(tblRound16[[#This Row],[Euro_Match_Number]],lkupRoundGame[Euro_Match_Number],0),MATCH("Round_Name",lkupRoundGame[#Headers],0))</f>
        <v>Round 16</v>
      </c>
      <c r="P8" s="54">
        <f>INDEX(lkupRoundGame[],MATCH(tblRound16[[#This Row],[Euro_Match_Number]],lkupRoundGame[Euro_Match_Number],0),MATCH("Match_Date",lkupRoundGame[#Headers],0))</f>
        <v>44374</v>
      </c>
      <c r="Q8" s="54">
        <f>INDEX(lkupRoundGame[],MATCH(tblRound16[[#This Row],[Euro_Match_Number]],lkupRoundGame[Euro_Match_Number],0),MATCH("Match_Time_UK",lkupRoundGame[#Headers],0))</f>
        <v>0.70833333333333337</v>
      </c>
      <c r="R8" s="54" t="str">
        <f>""&amp;INDEX(lkupRoundGame[],MATCH(tblRound16[[#This Row],[Euro_Match_Number]],lkupRoundGame[Euro_Match_Number],0),MATCH("TV_Station",lkupRoundGame[#Headers],0))</f>
        <v/>
      </c>
      <c r="S8" s="54" t="b">
        <f>AND(LEN(tblRound16[[#This Row],[Team A Goals]])&gt;0,LEN(tblRound16[[#This Row],[Team B Goals]])&gt;0,tblRound16[[#This Row],[Team A Goals]]&lt;&gt;tblRound16[[#This Row],[Team B Goals]])</f>
        <v>0</v>
      </c>
      <c r="T8" s="54" t="b">
        <f>AND(LEN(tblRound16[[#This Row],[Team A AET]])&gt;0,LEN(tblRound16[[#This Row],[Team B AET]])&gt;0,tblRound16[[#This Row],[Team A AET]]&lt;&gt;tblRound16[[#This Row],[Team B AET]])</f>
        <v>0</v>
      </c>
      <c r="U8" s="54" t="b">
        <f>AND(LEN(tblRound16[[#This Row],[Team A Penalties]])&gt;0,LEN(tblRound16[[#This Row],[Team B Penalties]])&gt;0)</f>
        <v>0</v>
      </c>
      <c r="V8" s="54" t="b">
        <f ca="1">AND(OR(tblRound16[[#This Row],[Is_Result_Goals]:[Is_Result_Penalties]]),tblRound16[[#This Row],[Is_Group_Complete_1]],tblRound16[[#This Row],[Is_Group_Complete_2]])</f>
        <v>0</v>
      </c>
      <c r="W8" s="54" t="str">
        <f>IF(tblRound16[[#This Row],[Is_Result_Goals]],tblRound16[[#This Row],[Team A Goals]],IF(tblRound16[[#This Row],[Is_Result_AET]],tblRound16[[#This Row],[Team A AET]],IF(tblRound16[[#This Row],[Is_Result_Penalties]],tblRound16[[#This Row],[Team A Penalties]],"")))</f>
        <v/>
      </c>
      <c r="X8" s="54" t="str">
        <f>IF(tblRound16[[#This Row],[Is_Result_Goals]],tblRound16[[#This Row],[Team B Goals]],IF(tblRound16[[#This Row],[Is_Result_AET]],tblRound16[[#This Row],[Team B AET]],IF(tblRound16[[#This Row],[Is_Result_Penalties]],tblRound16[[#This Row],[Team B Penalties]],"")))</f>
        <v/>
      </c>
      <c r="Y8" s="54" t="str">
        <f ca="1">IF(tblRound16[[#This Row],[Is_Complete]],IF(tblRound16[[#This Row],[Team_1_Value]]&gt;tblRound16[[#This Row],[Team_2_Value]],tblRound16[[#This Row],[Team_1_Number]],tblRound16[[#This Row],[Team_2_Number]]),"")</f>
        <v/>
      </c>
      <c r="Z8" s="95">
        <f>tblRound16[[#This Row],[Euro_Match_Number]]</f>
        <v>40</v>
      </c>
      <c r="AA8" s="95" t="str">
        <f>tblRound16[[#This Row],[Round_Name]]</f>
        <v>Round 16</v>
      </c>
      <c r="AB8" s="95" t="str">
        <f>TEXT(SUM(tblRound16[[#This Row],[Match_Date]],tblRound16[[#This Row],[Match_Time_UK]]),"ddd dd mmm hh:mm")&amp;IF(LEN(tblRound16[[#This Row],[TV_Station]])&gt;0," ("&amp;tblRound16[[#This Row],[TV_Station]]&amp;")","")</f>
        <v>Sun 27 Jun 17:00</v>
      </c>
      <c r="AC8" s="95" t="str">
        <f>INDEX(lkupVenue[],MATCH(tblRound16[[#This Row],[Venue_Number]],lkupVenue[Venue_Number],0),MATCH("Venue_Short",lkupVenue[#Headers],0))</f>
        <v>Puskas Arena (HUN)</v>
      </c>
      <c r="AD8" s="96" t="str">
        <f ca="1">IF(tblRound16[[#This Row],[Is_Group_Complete_1]],INDEX(lkupTeam[],MATCH(tblRound16[[#This Row],[Team_1_Number]],lkupTeam[Team_Number],0),MATCH("Team",lkupTeam[#Headers],0)),tblRound16[[#This Row],[Team_1_Group_Name]])</f>
        <v>Winner Group C</v>
      </c>
      <c r="AE8" s="97"/>
      <c r="AF8" s="97"/>
      <c r="AG8" s="97"/>
      <c r="AH8" s="96" t="str">
        <f ca="1">IF(tblRound16[[#This Row],[Is_Group_Complete_2]],INDEX(lkupTeam[],MATCH(tblRound16[[#This Row],[Team_2_Number]],lkupTeam[Team_Number],0),MATCH("Team",lkupTeam[#Headers],0)),tblRound16[[#This Row],[Team_2_Group_Name]])</f>
        <v>3rd Group D/E/F</v>
      </c>
      <c r="AI8" s="97"/>
      <c r="AJ8" s="97"/>
      <c r="AK8" s="97"/>
    </row>
    <row r="9" spans="2:37" ht="16.5" x14ac:dyDescent="0.3">
      <c r="B9" s="54">
        <v>39</v>
      </c>
      <c r="C9" s="54" t="s">
        <v>219</v>
      </c>
      <c r="D9" s="54" t="b">
        <v>1</v>
      </c>
      <c r="F9" s="54" t="str">
        <f ca="1">IF(tblRound16[[#This Row],[Is_Third_Place]],INDEX(tblThirdPlaceSequence[],MATCH(TRUE,tblThirdPlaceSequence[Is_Sequence],0),MATCH(tblRound16[[#This Row],[Table_Rank_Code_1]],tblThirdPlaceSequence[#Headers],0)),"")</f>
        <v>A3</v>
      </c>
      <c r="G9" s="54" t="s">
        <v>494</v>
      </c>
      <c r="H9" s="54" t="b">
        <f ca="1">SUM(INDIRECT("tblGroup"&amp;LEFT(tblRound16[[#This Row],[Table_Rank_Code_1]],1)&amp;"[Table_Played]"))=12</f>
        <v>0</v>
      </c>
      <c r="I9" s="54" t="b">
        <f ca="1">IF(tblRound16[[#This Row],[Is_Third_Place]],tblGroupThirdPlace[[#Totals],[Table_Played]]=18,SUM(INDIRECT("tblGroup"&amp;LEFT(tblRound16[[#This Row],[Table_Rank_Code_2]],1)&amp;"[Table_Played]"))=12)</f>
        <v>0</v>
      </c>
      <c r="J9" s="54" t="str">
        <f>_xlfn.TEXTJOIN(" ",TRUE,IF(RIGHT(tblRound16[[#This Row],[Table_Rank_Code_1]],1)="1","Winner",IF(RIGHT(tblRound16[[#This Row],[Table_Rank_Code_1]],1)="2","Runner-Up","3rd")),"Group",LEFT(tblRound16[[#This Row],[Table_Rank_Code_1]],1))</f>
        <v>Winner Group B</v>
      </c>
      <c r="K9" s="54" t="str">
        <f ca="1">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3rd Group A/D/E/F</v>
      </c>
      <c r="L9" s="54">
        <f ca="1">INDEX(tblGroupTotals[],MATCH(tblRound16[[#This Row],[Table_Rank_Code_1]],tblGroupTotals[Table_Rank_Code],0),MATCH("Team_Number",tblGroupTotals[#Headers],0))</f>
        <v>7</v>
      </c>
      <c r="M9" s="54">
        <f ca="1">INDEX(tblGroupTotals[],MATCH(IF(tblRound16[[#This Row],[Is_Third_Place]],tblRound16[[#This Row],[Third_Rank_Code]],tblRound16[[#This Row],[Table_Rank_Code_2]]),tblGroupTotals[Table_Rank_Code],0),MATCH("Team_Number",tblGroupTotals[#Headers],0))</f>
        <v>1</v>
      </c>
      <c r="N9" s="54">
        <f>INDEX(lkupRoundGame[],MATCH(tblRound16[[#This Row],[Euro_Match_Number]],lkupRoundGame[Euro_Match_Number],0),MATCH("Venue_Number",lkupRoundGame[#Headers],0))</f>
        <v>7</v>
      </c>
      <c r="O9" s="54" t="str">
        <f>INDEX(lkupRoundGame[],MATCH(tblRound16[[#This Row],[Euro_Match_Number]],lkupRoundGame[Euro_Match_Number],0),MATCH("Round_Name",lkupRoundGame[#Headers],0))</f>
        <v>Round 16</v>
      </c>
      <c r="P9" s="54">
        <f>INDEX(lkupRoundGame[],MATCH(tblRound16[[#This Row],[Euro_Match_Number]],lkupRoundGame[Euro_Match_Number],0),MATCH("Match_Date",lkupRoundGame[#Headers],0))</f>
        <v>44374</v>
      </c>
      <c r="Q9" s="54">
        <f>INDEX(lkupRoundGame[],MATCH(tblRound16[[#This Row],[Euro_Match_Number]],lkupRoundGame[Euro_Match_Number],0),MATCH("Match_Time_UK",lkupRoundGame[#Headers],0))</f>
        <v>0.83333333333333337</v>
      </c>
      <c r="R9" s="54" t="str">
        <f>""&amp;INDEX(lkupRoundGame[],MATCH(tblRound16[[#This Row],[Euro_Match_Number]],lkupRoundGame[Euro_Match_Number],0),MATCH("TV_Station",lkupRoundGame[#Headers],0))</f>
        <v/>
      </c>
      <c r="S9" s="54" t="b">
        <f>AND(LEN(tblRound16[[#This Row],[Team A Goals]])&gt;0,LEN(tblRound16[[#This Row],[Team B Goals]])&gt;0,tblRound16[[#This Row],[Team A Goals]]&lt;&gt;tblRound16[[#This Row],[Team B Goals]])</f>
        <v>0</v>
      </c>
      <c r="T9" s="54" t="b">
        <f>AND(LEN(tblRound16[[#This Row],[Team A AET]])&gt;0,LEN(tblRound16[[#This Row],[Team B AET]])&gt;0,tblRound16[[#This Row],[Team A AET]]&lt;&gt;tblRound16[[#This Row],[Team B AET]])</f>
        <v>0</v>
      </c>
      <c r="U9" s="54" t="b">
        <f>AND(LEN(tblRound16[[#This Row],[Team A Penalties]])&gt;0,LEN(tblRound16[[#This Row],[Team B Penalties]])&gt;0)</f>
        <v>0</v>
      </c>
      <c r="V9" s="54" t="b">
        <f ca="1">AND(OR(tblRound16[[#This Row],[Is_Result_Goals]:[Is_Result_Penalties]]),tblRound16[[#This Row],[Is_Group_Complete_1]],tblRound16[[#This Row],[Is_Group_Complete_2]])</f>
        <v>0</v>
      </c>
      <c r="W9" s="54" t="str">
        <f>IF(tblRound16[[#This Row],[Is_Result_Goals]],tblRound16[[#This Row],[Team A Goals]],IF(tblRound16[[#This Row],[Is_Result_AET]],tblRound16[[#This Row],[Team A AET]],IF(tblRound16[[#This Row],[Is_Result_Penalties]],tblRound16[[#This Row],[Team A Penalties]],"")))</f>
        <v/>
      </c>
      <c r="X9" s="54" t="str">
        <f>IF(tblRound16[[#This Row],[Is_Result_Goals]],tblRound16[[#This Row],[Team B Goals]],IF(tblRound16[[#This Row],[Is_Result_AET]],tblRound16[[#This Row],[Team B AET]],IF(tblRound16[[#This Row],[Is_Result_Penalties]],tblRound16[[#This Row],[Team B Penalties]],"")))</f>
        <v/>
      </c>
      <c r="Y9" s="54" t="str">
        <f ca="1">IF(tblRound16[[#This Row],[Is_Complete]],IF(tblRound16[[#This Row],[Team_1_Value]]&gt;tblRound16[[#This Row],[Team_2_Value]],tblRound16[[#This Row],[Team_1_Number]],tblRound16[[#This Row],[Team_2_Number]]),"")</f>
        <v/>
      </c>
      <c r="Z9" s="95">
        <f>tblRound16[[#This Row],[Euro_Match_Number]]</f>
        <v>39</v>
      </c>
      <c r="AA9" s="95" t="str">
        <f>tblRound16[[#This Row],[Round_Name]]</f>
        <v>Round 16</v>
      </c>
      <c r="AB9" s="95" t="str">
        <f>TEXT(SUM(tblRound16[[#This Row],[Match_Date]],tblRound16[[#This Row],[Match_Time_UK]]),"ddd dd mmm hh:mm")&amp;IF(LEN(tblRound16[[#This Row],[TV_Station]])&gt;0," ("&amp;tblRound16[[#This Row],[TV_Station]]&amp;")","")</f>
        <v>Sun 27 Jun 20:00</v>
      </c>
      <c r="AC9" s="95" t="str">
        <f>INDEX(lkupVenue[],MATCH(tblRound16[[#This Row],[Venue_Number]],lkupVenue[Venue_Number],0),MATCH("Venue_Short",lkupVenue[#Headers],0))</f>
        <v>La Cartuja (SPA)</v>
      </c>
      <c r="AD9" s="96" t="str">
        <f ca="1">IF(tblRound16[[#This Row],[Is_Group_Complete_1]],INDEX(lkupTeam[],MATCH(tblRound16[[#This Row],[Team_1_Number]],lkupTeam[Team_Number],0),MATCH("Team",lkupTeam[#Headers],0)),tblRound16[[#This Row],[Team_1_Group_Name]])</f>
        <v>Winner Group B</v>
      </c>
      <c r="AE9" s="97"/>
      <c r="AF9" s="97"/>
      <c r="AG9" s="97"/>
      <c r="AH9" s="96" t="str">
        <f ca="1">IF(tblRound16[[#This Row],[Is_Group_Complete_2]],INDEX(lkupTeam[],MATCH(tblRound16[[#This Row],[Team_2_Number]],lkupTeam[Team_Number],0),MATCH("Team",lkupTeam[#Headers],0)),tblRound16[[#This Row],[Team_2_Group_Name]])</f>
        <v>3rd Group A/D/E/F</v>
      </c>
      <c r="AI9" s="97"/>
      <c r="AJ9" s="97"/>
      <c r="AK9" s="97"/>
    </row>
    <row r="10" spans="2:37" ht="16.5" x14ac:dyDescent="0.3">
      <c r="B10" s="54">
        <v>42</v>
      </c>
      <c r="C10" s="54" t="s">
        <v>228</v>
      </c>
      <c r="D10" s="54" t="b">
        <v>0</v>
      </c>
      <c r="E10" s="54" t="s">
        <v>232</v>
      </c>
      <c r="F10" s="54" t="str">
        <f>IF(tblRound16[[#This Row],[Is_Third_Place]],INDEX(tblThirdPlaceSequence[],MATCH(TRUE,tblThirdPlaceSequence[Is_Sequence],0),MATCH(tblRound16[[#This Row],[Table_Rank_Code_1]],tblThirdPlaceSequence[#Headers],0)),"")</f>
        <v/>
      </c>
      <c r="H10" s="54" t="b">
        <f ca="1">SUM(INDIRECT("tblGroup"&amp;LEFT(tblRound16[[#This Row],[Table_Rank_Code_1]],1)&amp;"[Table_Played]"))=12</f>
        <v>0</v>
      </c>
      <c r="I10" s="54" t="b">
        <f ca="1">IF(tblRound16[[#This Row],[Is_Third_Place]],tblGroupThirdPlace[[#Totals],[Table_Played]]=18,SUM(INDIRECT("tblGroup"&amp;LEFT(tblRound16[[#This Row],[Table_Rank_Code_2]],1)&amp;"[Table_Played]"))=12)</f>
        <v>0</v>
      </c>
      <c r="J10" s="54" t="str">
        <f>_xlfn.TEXTJOIN(" ",TRUE,IF(RIGHT(tblRound16[[#This Row],[Table_Rank_Code_1]],1)="1","Winner",IF(RIGHT(tblRound16[[#This Row],[Table_Rank_Code_1]],1)="2","Runner-Up","3rd")),"Group",LEFT(tblRound16[[#This Row],[Table_Rank_Code_1]],1))</f>
        <v>Runner-Up Group D</v>
      </c>
      <c r="K10" s="54" t="str">
        <f>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Runner-Up Group E</v>
      </c>
      <c r="L10" s="54">
        <f ca="1">INDEX(tblGroupTotals[],MATCH(tblRound16[[#This Row],[Table_Rank_Code_1]],tblGroupTotals[Table_Rank_Code],0),MATCH("Team_Number",tblGroupTotals[#Headers],0))</f>
        <v>14</v>
      </c>
      <c r="M10" s="54">
        <f ca="1">INDEX(tblGroupTotals[],MATCH(IF(tblRound16[[#This Row],[Is_Third_Place]],tblRound16[[#This Row],[Third_Rank_Code]],tblRound16[[#This Row],[Table_Rank_Code_2]]),tblGroupTotals[Table_Rank_Code],0),MATCH("Team_Number",tblGroupTotals[#Headers],0))</f>
        <v>17</v>
      </c>
      <c r="N10" s="54">
        <f>INDEX(lkupRoundGame[],MATCH(tblRound16[[#This Row],[Euro_Match_Number]],lkupRoundGame[Euro_Match_Number],0),MATCH("Venue_Number",lkupRoundGame[#Headers],0))</f>
        <v>11</v>
      </c>
      <c r="O10" s="54" t="str">
        <f>INDEX(lkupRoundGame[],MATCH(tblRound16[[#This Row],[Euro_Match_Number]],lkupRoundGame[Euro_Match_Number],0),MATCH("Round_Name",lkupRoundGame[#Headers],0))</f>
        <v>Round 16</v>
      </c>
      <c r="P10" s="54">
        <f>INDEX(lkupRoundGame[],MATCH(tblRound16[[#This Row],[Euro_Match_Number]],lkupRoundGame[Euro_Match_Number],0),MATCH("Match_Date",lkupRoundGame[#Headers],0))</f>
        <v>44375</v>
      </c>
      <c r="Q10" s="54">
        <f>INDEX(lkupRoundGame[],MATCH(tblRound16[[#This Row],[Euro_Match_Number]],lkupRoundGame[Euro_Match_Number],0),MATCH("Match_Time_UK",lkupRoundGame[#Headers],0))</f>
        <v>0.70833333333333337</v>
      </c>
      <c r="R10" s="54" t="str">
        <f>""&amp;INDEX(lkupRoundGame[],MATCH(tblRound16[[#This Row],[Euro_Match_Number]],lkupRoundGame[Euro_Match_Number],0),MATCH("TV_Station",lkupRoundGame[#Headers],0))</f>
        <v/>
      </c>
      <c r="S10" s="54" t="b">
        <f>AND(LEN(tblRound16[[#This Row],[Team A Goals]])&gt;0,LEN(tblRound16[[#This Row],[Team B Goals]])&gt;0,tblRound16[[#This Row],[Team A Goals]]&lt;&gt;tblRound16[[#This Row],[Team B Goals]])</f>
        <v>0</v>
      </c>
      <c r="T10" s="54" t="b">
        <f>AND(LEN(tblRound16[[#This Row],[Team A AET]])&gt;0,LEN(tblRound16[[#This Row],[Team B AET]])&gt;0,tblRound16[[#This Row],[Team A AET]]&lt;&gt;tblRound16[[#This Row],[Team B AET]])</f>
        <v>0</v>
      </c>
      <c r="U10" s="54" t="b">
        <f>AND(LEN(tblRound16[[#This Row],[Team A Penalties]])&gt;0,LEN(tblRound16[[#This Row],[Team B Penalties]])&gt;0)</f>
        <v>0</v>
      </c>
      <c r="V10" s="54" t="b">
        <f ca="1">AND(OR(tblRound16[[#This Row],[Is_Result_Goals]:[Is_Result_Penalties]]),tblRound16[[#This Row],[Is_Group_Complete_1]],tblRound16[[#This Row],[Is_Group_Complete_2]])</f>
        <v>0</v>
      </c>
      <c r="W10" s="54" t="str">
        <f>IF(tblRound16[[#This Row],[Is_Result_Goals]],tblRound16[[#This Row],[Team A Goals]],IF(tblRound16[[#This Row],[Is_Result_AET]],tblRound16[[#This Row],[Team A AET]],IF(tblRound16[[#This Row],[Is_Result_Penalties]],tblRound16[[#This Row],[Team A Penalties]],"")))</f>
        <v/>
      </c>
      <c r="X10" s="54" t="str">
        <f>IF(tblRound16[[#This Row],[Is_Result_Goals]],tblRound16[[#This Row],[Team B Goals]],IF(tblRound16[[#This Row],[Is_Result_AET]],tblRound16[[#This Row],[Team B AET]],IF(tblRound16[[#This Row],[Is_Result_Penalties]],tblRound16[[#This Row],[Team B Penalties]],"")))</f>
        <v/>
      </c>
      <c r="Y10" s="54" t="str">
        <f ca="1">IF(tblRound16[[#This Row],[Is_Complete]],IF(tblRound16[[#This Row],[Team_1_Value]]&gt;tblRound16[[#This Row],[Team_2_Value]],tblRound16[[#This Row],[Team_1_Number]],tblRound16[[#This Row],[Team_2_Number]]),"")</f>
        <v/>
      </c>
      <c r="Z10" s="95">
        <f>tblRound16[[#This Row],[Euro_Match_Number]]</f>
        <v>42</v>
      </c>
      <c r="AA10" s="95" t="str">
        <f>tblRound16[[#This Row],[Round_Name]]</f>
        <v>Round 16</v>
      </c>
      <c r="AB10" s="95" t="str">
        <f>TEXT(SUM(tblRound16[[#This Row],[Match_Date]],tblRound16[[#This Row],[Match_Time_UK]]),"ddd dd mmm hh:mm")&amp;IF(LEN(tblRound16[[#This Row],[TV_Station]])&gt;0," ("&amp;tblRound16[[#This Row],[TV_Station]]&amp;")","")</f>
        <v>Mon 28 Jun 17:00</v>
      </c>
      <c r="AC10" s="95" t="str">
        <f>INDEX(lkupVenue[],MATCH(tblRound16[[#This Row],[Venue_Number]],lkupVenue[Venue_Number],0),MATCH("Venue_Short",lkupVenue[#Headers],0))</f>
        <v>Parken Stadium (DEN)</v>
      </c>
      <c r="AD10" s="96" t="str">
        <f ca="1">IF(tblRound16[[#This Row],[Is_Group_Complete_1]],INDEX(lkupTeam[],MATCH(tblRound16[[#This Row],[Team_1_Number]],lkupTeam[Team_Number],0),MATCH("Team",lkupTeam[#Headers],0)),tblRound16[[#This Row],[Team_1_Group_Name]])</f>
        <v>Runner-Up Group D</v>
      </c>
      <c r="AE10" s="97"/>
      <c r="AF10" s="97"/>
      <c r="AG10" s="97"/>
      <c r="AH10" s="96" t="str">
        <f ca="1">IF(tblRound16[[#This Row],[Is_Group_Complete_2]],INDEX(lkupTeam[],MATCH(tblRound16[[#This Row],[Team_2_Number]],lkupTeam[Team_Number],0),MATCH("Team",lkupTeam[#Headers],0)),tblRound16[[#This Row],[Team_2_Group_Name]])</f>
        <v>Runner-Up Group E</v>
      </c>
      <c r="AI10" s="97"/>
      <c r="AJ10" s="97"/>
      <c r="AK10" s="97"/>
    </row>
    <row r="11" spans="2:37" ht="16.5" x14ac:dyDescent="0.3">
      <c r="B11" s="54">
        <v>41</v>
      </c>
      <c r="C11" s="54" t="s">
        <v>235</v>
      </c>
      <c r="D11" s="54" t="b">
        <v>1</v>
      </c>
      <c r="F11" s="54" t="str">
        <f ca="1">IF(tblRound16[[#This Row],[Is_Third_Place]],INDEX(tblThirdPlaceSequence[],MATCH(TRUE,tblThirdPlaceSequence[Is_Sequence],0),MATCH(tblRound16[[#This Row],[Table_Rank_Code_1]],tblThirdPlaceSequence[#Headers],0)),"")</f>
        <v>C3</v>
      </c>
      <c r="G11" s="54" t="s">
        <v>496</v>
      </c>
      <c r="H11" s="54" t="b">
        <f ca="1">SUM(INDIRECT("tblGroup"&amp;LEFT(tblRound16[[#This Row],[Table_Rank_Code_1]],1)&amp;"[Table_Played]"))=12</f>
        <v>0</v>
      </c>
      <c r="I11" s="54" t="b">
        <f ca="1">IF(tblRound16[[#This Row],[Is_Third_Place]],tblGroupThirdPlace[[#Totals],[Table_Played]]=18,SUM(INDIRECT("tblGroup"&amp;LEFT(tblRound16[[#This Row],[Table_Rank_Code_2]],1)&amp;"[Table_Played]"))=12)</f>
        <v>0</v>
      </c>
      <c r="J11" s="54" t="str">
        <f>_xlfn.TEXTJOIN(" ",TRUE,IF(RIGHT(tblRound16[[#This Row],[Table_Rank_Code_1]],1)="1","Winner",IF(RIGHT(tblRound16[[#This Row],[Table_Rank_Code_1]],1)="2","Runner-Up","3rd")),"Group",LEFT(tblRound16[[#This Row],[Table_Rank_Code_1]],1))</f>
        <v>Winner Group F</v>
      </c>
      <c r="K11" s="54" t="str">
        <f ca="1">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3rd Group A/B/C</v>
      </c>
      <c r="L11" s="54">
        <f ca="1">INDEX(tblGroupTotals[],MATCH(tblRound16[[#This Row],[Table_Rank_Code_1]],tblGroupTotals[Table_Rank_Code],0),MATCH("Team_Number",tblGroupTotals[#Headers],0))</f>
        <v>24</v>
      </c>
      <c r="M11" s="54">
        <f ca="1">INDEX(tblGroupTotals[],MATCH(IF(tblRound16[[#This Row],[Is_Third_Place]],tblRound16[[#This Row],[Third_Rank_Code]],tblRound16[[#This Row],[Table_Rank_Code_2]]),tblGroupTotals[Table_Rank_Code],0),MATCH("Team_Number",tblGroupTotals[#Headers],0))</f>
        <v>9</v>
      </c>
      <c r="N11" s="54">
        <f>INDEX(lkupRoundGame[],MATCH(tblRound16[[#This Row],[Euro_Match_Number]],lkupRoundGame[Euro_Match_Number],0),MATCH("Venue_Number",lkupRoundGame[#Headers],0))</f>
        <v>8</v>
      </c>
      <c r="O11" s="54" t="str">
        <f>INDEX(lkupRoundGame[],MATCH(tblRound16[[#This Row],[Euro_Match_Number]],lkupRoundGame[Euro_Match_Number],0),MATCH("Round_Name",lkupRoundGame[#Headers],0))</f>
        <v>Round 16</v>
      </c>
      <c r="P11" s="54">
        <f>INDEX(lkupRoundGame[],MATCH(tblRound16[[#This Row],[Euro_Match_Number]],lkupRoundGame[Euro_Match_Number],0),MATCH("Match_Date",lkupRoundGame[#Headers],0))</f>
        <v>44375</v>
      </c>
      <c r="Q11" s="54">
        <f>INDEX(lkupRoundGame[],MATCH(tblRound16[[#This Row],[Euro_Match_Number]],lkupRoundGame[Euro_Match_Number],0),MATCH("Match_Time_UK",lkupRoundGame[#Headers],0))</f>
        <v>0.83333333333333337</v>
      </c>
      <c r="R11" s="54" t="str">
        <f>""&amp;INDEX(lkupRoundGame[],MATCH(tblRound16[[#This Row],[Euro_Match_Number]],lkupRoundGame[Euro_Match_Number],0),MATCH("TV_Station",lkupRoundGame[#Headers],0))</f>
        <v/>
      </c>
      <c r="S11" s="54" t="b">
        <f>AND(LEN(tblRound16[[#This Row],[Team A Goals]])&gt;0,LEN(tblRound16[[#This Row],[Team B Goals]])&gt;0,tblRound16[[#This Row],[Team A Goals]]&lt;&gt;tblRound16[[#This Row],[Team B Goals]])</f>
        <v>0</v>
      </c>
      <c r="T11" s="54" t="b">
        <f>AND(LEN(tblRound16[[#This Row],[Team A AET]])&gt;0,LEN(tblRound16[[#This Row],[Team B AET]])&gt;0,tblRound16[[#This Row],[Team A AET]]&lt;&gt;tblRound16[[#This Row],[Team B AET]])</f>
        <v>0</v>
      </c>
      <c r="U11" s="54" t="b">
        <f>AND(LEN(tblRound16[[#This Row],[Team A Penalties]])&gt;0,LEN(tblRound16[[#This Row],[Team B Penalties]])&gt;0)</f>
        <v>0</v>
      </c>
      <c r="V11" s="54" t="b">
        <f ca="1">AND(OR(tblRound16[[#This Row],[Is_Result_Goals]:[Is_Result_Penalties]]),tblRound16[[#This Row],[Is_Group_Complete_1]],tblRound16[[#This Row],[Is_Group_Complete_2]])</f>
        <v>0</v>
      </c>
      <c r="W11" s="54" t="str">
        <f>IF(tblRound16[[#This Row],[Is_Result_Goals]],tblRound16[[#This Row],[Team A Goals]],IF(tblRound16[[#This Row],[Is_Result_AET]],tblRound16[[#This Row],[Team A AET]],IF(tblRound16[[#This Row],[Is_Result_Penalties]],tblRound16[[#This Row],[Team A Penalties]],"")))</f>
        <v/>
      </c>
      <c r="X11" s="54" t="str">
        <f>IF(tblRound16[[#This Row],[Is_Result_Goals]],tblRound16[[#This Row],[Team B Goals]],IF(tblRound16[[#This Row],[Is_Result_AET]],tblRound16[[#This Row],[Team B AET]],IF(tblRound16[[#This Row],[Is_Result_Penalties]],tblRound16[[#This Row],[Team B Penalties]],"")))</f>
        <v/>
      </c>
      <c r="Y11" s="54" t="str">
        <f ca="1">IF(tblRound16[[#This Row],[Is_Complete]],IF(tblRound16[[#This Row],[Team_1_Value]]&gt;tblRound16[[#This Row],[Team_2_Value]],tblRound16[[#This Row],[Team_1_Number]],tblRound16[[#This Row],[Team_2_Number]]),"")</f>
        <v/>
      </c>
      <c r="Z11" s="95">
        <f>tblRound16[[#This Row],[Euro_Match_Number]]</f>
        <v>41</v>
      </c>
      <c r="AA11" s="95" t="str">
        <f>tblRound16[[#This Row],[Round_Name]]</f>
        <v>Round 16</v>
      </c>
      <c r="AB11" s="95" t="str">
        <f>TEXT(SUM(tblRound16[[#This Row],[Match_Date]],tblRound16[[#This Row],[Match_Time_UK]]),"ddd dd mmm hh:mm")&amp;IF(LEN(tblRound16[[#This Row],[TV_Station]])&gt;0," ("&amp;tblRound16[[#This Row],[TV_Station]]&amp;")","")</f>
        <v>Mon 28 Jun 20:00</v>
      </c>
      <c r="AC11" s="95" t="str">
        <f>INDEX(lkupVenue[],MATCH(tblRound16[[#This Row],[Venue_Number]],lkupVenue[Venue_Number],0),MATCH("Venue_Short",lkupVenue[#Headers],0))</f>
        <v>Arean Nationala (ROM)</v>
      </c>
      <c r="AD11" s="96" t="str">
        <f ca="1">IF(tblRound16[[#This Row],[Is_Group_Complete_1]],INDEX(lkupTeam[],MATCH(tblRound16[[#This Row],[Team_1_Number]],lkupTeam[Team_Number],0),MATCH("Team",lkupTeam[#Headers],0)),tblRound16[[#This Row],[Team_1_Group_Name]])</f>
        <v>Winner Group F</v>
      </c>
      <c r="AE11" s="97"/>
      <c r="AF11" s="97"/>
      <c r="AG11" s="97"/>
      <c r="AH11" s="96" t="str">
        <f ca="1">IF(tblRound16[[#This Row],[Is_Group_Complete_2]],INDEX(lkupTeam[],MATCH(tblRound16[[#This Row],[Team_2_Number]],lkupTeam[Team_Number],0),MATCH("Team",lkupTeam[#Headers],0)),tblRound16[[#This Row],[Team_2_Group_Name]])</f>
        <v>3rd Group A/B/C</v>
      </c>
      <c r="AI11" s="97"/>
      <c r="AJ11" s="97"/>
      <c r="AK11" s="97"/>
    </row>
    <row r="12" spans="2:37" ht="16.5" x14ac:dyDescent="0.3">
      <c r="B12" s="54">
        <v>44</v>
      </c>
      <c r="C12" s="54" t="s">
        <v>227</v>
      </c>
      <c r="D12" s="54" t="b">
        <v>0</v>
      </c>
      <c r="E12" s="54" t="s">
        <v>236</v>
      </c>
      <c r="F12" s="54" t="str">
        <f>IF(tblRound16[[#This Row],[Is_Third_Place]],INDEX(tblThirdPlaceSequence[],MATCH(TRUE,tblThirdPlaceSequence[Is_Sequence],0),MATCH(tblRound16[[#This Row],[Table_Rank_Code_1]],tblThirdPlaceSequence[#Headers],0)),"")</f>
        <v/>
      </c>
      <c r="H12" s="54" t="b">
        <f ca="1">SUM(INDIRECT("tblGroup"&amp;LEFT(tblRound16[[#This Row],[Table_Rank_Code_1]],1)&amp;"[Table_Played]"))=12</f>
        <v>0</v>
      </c>
      <c r="I12" s="54" t="b">
        <f ca="1">IF(tblRound16[[#This Row],[Is_Third_Place]],tblGroupThirdPlace[[#Totals],[Table_Played]]=18,SUM(INDIRECT("tblGroup"&amp;LEFT(tblRound16[[#This Row],[Table_Rank_Code_2]],1)&amp;"[Table_Played]"))=12)</f>
        <v>0</v>
      </c>
      <c r="J12" s="54" t="str">
        <f>_xlfn.TEXTJOIN(" ",TRUE,IF(RIGHT(tblRound16[[#This Row],[Table_Rank_Code_1]],1)="1","Winner",IF(RIGHT(tblRound16[[#This Row],[Table_Rank_Code_1]],1)="2","Runner-Up","3rd")),"Group",LEFT(tblRound16[[#This Row],[Table_Rank_Code_1]],1))</f>
        <v>Winner Group D</v>
      </c>
      <c r="K12" s="54" t="str">
        <f>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Runner-Up Group F</v>
      </c>
      <c r="L12" s="54">
        <f ca="1">INDEX(tblGroupTotals[],MATCH(tblRound16[[#This Row],[Table_Rank_Code_1]],tblGroupTotals[Table_Rank_Code],0),MATCH("Team_Number",tblGroupTotals[#Headers],0))</f>
        <v>13</v>
      </c>
      <c r="M12" s="54">
        <f ca="1">INDEX(tblGroupTotals[],MATCH(IF(tblRound16[[#This Row],[Is_Third_Place]],tblRound16[[#This Row],[Third_Rank_Code]],tblRound16[[#This Row],[Table_Rank_Code_2]]),tblGroupTotals[Table_Rank_Code],0),MATCH("Team_Number",tblGroupTotals[#Headers],0))</f>
        <v>23</v>
      </c>
      <c r="N12" s="54">
        <f>INDEX(lkupRoundGame[],MATCH(tblRound16[[#This Row],[Euro_Match_Number]],lkupRoundGame[Euro_Match_Number],0),MATCH("Venue_Number",lkupRoundGame[#Headers],0))</f>
        <v>1</v>
      </c>
      <c r="O12" s="54" t="str">
        <f>INDEX(lkupRoundGame[],MATCH(tblRound16[[#This Row],[Euro_Match_Number]],lkupRoundGame[Euro_Match_Number],0),MATCH("Round_Name",lkupRoundGame[#Headers],0))</f>
        <v>Round 16</v>
      </c>
      <c r="P12" s="54">
        <f>INDEX(lkupRoundGame[],MATCH(tblRound16[[#This Row],[Euro_Match_Number]],lkupRoundGame[Euro_Match_Number],0),MATCH("Match_Date",lkupRoundGame[#Headers],0))</f>
        <v>44376</v>
      </c>
      <c r="Q12" s="54">
        <f>INDEX(lkupRoundGame[],MATCH(tblRound16[[#This Row],[Euro_Match_Number]],lkupRoundGame[Euro_Match_Number],0),MATCH("Match_Time_UK",lkupRoundGame[#Headers],0))</f>
        <v>0.70833333333333337</v>
      </c>
      <c r="R12" s="54" t="str">
        <f>""&amp;INDEX(lkupRoundGame[],MATCH(tblRound16[[#This Row],[Euro_Match_Number]],lkupRoundGame[Euro_Match_Number],0),MATCH("TV_Station",lkupRoundGame[#Headers],0))</f>
        <v/>
      </c>
      <c r="S12" s="54" t="b">
        <f>AND(LEN(tblRound16[[#This Row],[Team A Goals]])&gt;0,LEN(tblRound16[[#This Row],[Team B Goals]])&gt;0,tblRound16[[#This Row],[Team A Goals]]&lt;&gt;tblRound16[[#This Row],[Team B Goals]])</f>
        <v>0</v>
      </c>
      <c r="T12" s="54" t="b">
        <f>AND(LEN(tblRound16[[#This Row],[Team A AET]])&gt;0,LEN(tblRound16[[#This Row],[Team B AET]])&gt;0,tblRound16[[#This Row],[Team A AET]]&lt;&gt;tblRound16[[#This Row],[Team B AET]])</f>
        <v>0</v>
      </c>
      <c r="U12" s="54" t="b">
        <f>AND(LEN(tblRound16[[#This Row],[Team A Penalties]])&gt;0,LEN(tblRound16[[#This Row],[Team B Penalties]])&gt;0)</f>
        <v>0</v>
      </c>
      <c r="V12" s="54" t="b">
        <f ca="1">AND(OR(tblRound16[[#This Row],[Is_Result_Goals]:[Is_Result_Penalties]]),tblRound16[[#This Row],[Is_Group_Complete_1]],tblRound16[[#This Row],[Is_Group_Complete_2]])</f>
        <v>0</v>
      </c>
      <c r="W12" s="54" t="str">
        <f>IF(tblRound16[[#This Row],[Is_Result_Goals]],tblRound16[[#This Row],[Team A Goals]],IF(tblRound16[[#This Row],[Is_Result_AET]],tblRound16[[#This Row],[Team A AET]],IF(tblRound16[[#This Row],[Is_Result_Penalties]],tblRound16[[#This Row],[Team A Penalties]],"")))</f>
        <v/>
      </c>
      <c r="X12" s="54" t="str">
        <f>IF(tblRound16[[#This Row],[Is_Result_Goals]],tblRound16[[#This Row],[Team B Goals]],IF(tblRound16[[#This Row],[Is_Result_AET]],tblRound16[[#This Row],[Team B AET]],IF(tblRound16[[#This Row],[Is_Result_Penalties]],tblRound16[[#This Row],[Team B Penalties]],"")))</f>
        <v/>
      </c>
      <c r="Y12" s="54" t="str">
        <f ca="1">IF(tblRound16[[#This Row],[Is_Complete]],IF(tblRound16[[#This Row],[Team_1_Value]]&gt;tblRound16[[#This Row],[Team_2_Value]],tblRound16[[#This Row],[Team_1_Number]],tblRound16[[#This Row],[Team_2_Number]]),"")</f>
        <v/>
      </c>
      <c r="Z12" s="95">
        <f>tblRound16[[#This Row],[Euro_Match_Number]]</f>
        <v>44</v>
      </c>
      <c r="AA12" s="95" t="str">
        <f>tblRound16[[#This Row],[Round_Name]]</f>
        <v>Round 16</v>
      </c>
      <c r="AB12" s="95" t="str">
        <f>TEXT(SUM(tblRound16[[#This Row],[Match_Date]],tblRound16[[#This Row],[Match_Time_UK]]),"ddd dd mmm hh:mm")&amp;IF(LEN(tblRound16[[#This Row],[TV_Station]])&gt;0," ("&amp;tblRound16[[#This Row],[TV_Station]]&amp;")","")</f>
        <v>Tue 29 Jun 17:00</v>
      </c>
      <c r="AC12" s="95" t="str">
        <f>INDEX(lkupVenue[],MATCH(tblRound16[[#This Row],[Venue_Number]],lkupVenue[Venue_Number],0),MATCH("Venue_Short",lkupVenue[#Headers],0))</f>
        <v>Wembley Stadium (ENG)</v>
      </c>
      <c r="AD12" s="96" t="str">
        <f ca="1">IF(tblRound16[[#This Row],[Is_Group_Complete_1]],INDEX(lkupTeam[],MATCH(tblRound16[[#This Row],[Team_1_Number]],lkupTeam[Team_Number],0),MATCH("Team",lkupTeam[#Headers],0)),tblRound16[[#This Row],[Team_1_Group_Name]])</f>
        <v>Winner Group D</v>
      </c>
      <c r="AE12" s="97"/>
      <c r="AF12" s="97"/>
      <c r="AG12" s="97"/>
      <c r="AH12" s="96" t="str">
        <f ca="1">IF(tblRound16[[#This Row],[Is_Group_Complete_2]],INDEX(lkupTeam[],MATCH(tblRound16[[#This Row],[Team_2_Number]],lkupTeam[Team_Number],0),MATCH("Team",lkupTeam[#Headers],0)),tblRound16[[#This Row],[Team_2_Group_Name]])</f>
        <v>Runner-Up Group F</v>
      </c>
      <c r="AI12" s="97"/>
      <c r="AJ12" s="97"/>
      <c r="AK12" s="97"/>
    </row>
    <row r="13" spans="2:37" ht="16.5" x14ac:dyDescent="0.3">
      <c r="B13" s="54">
        <v>43</v>
      </c>
      <c r="C13" s="54" t="s">
        <v>231</v>
      </c>
      <c r="D13" s="54" t="b">
        <v>1</v>
      </c>
      <c r="F13" s="54" t="str">
        <f ca="1">IF(tblRound16[[#This Row],[Is_Third_Place]],INDEX(tblThirdPlaceSequence[],MATCH(TRUE,tblThirdPlaceSequence[Is_Sequence],0),MATCH(tblRound16[[#This Row],[Table_Rank_Code_1]],tblThirdPlaceSequence[#Headers],0)),"")</f>
        <v>B3</v>
      </c>
      <c r="G13" s="54" t="s">
        <v>495</v>
      </c>
      <c r="H13" s="54" t="b">
        <f ca="1">SUM(INDIRECT("tblGroup"&amp;LEFT(tblRound16[[#This Row],[Table_Rank_Code_1]],1)&amp;"[Table_Played]"))=12</f>
        <v>0</v>
      </c>
      <c r="I13" s="54" t="b">
        <f ca="1">IF(tblRound16[[#This Row],[Is_Third_Place]],tblGroupThirdPlace[[#Totals],[Table_Played]]=18,SUM(INDIRECT("tblGroup"&amp;LEFT(tblRound16[[#This Row],[Table_Rank_Code_2]],1)&amp;"[Table_Played]"))=12)</f>
        <v>0</v>
      </c>
      <c r="J13" s="54" t="str">
        <f>_xlfn.TEXTJOIN(" ",TRUE,IF(RIGHT(tblRound16[[#This Row],[Table_Rank_Code_1]],1)="1","Winner",IF(RIGHT(tblRound16[[#This Row],[Table_Rank_Code_1]],1)="2","Runner-Up","3rd")),"Group",LEFT(tblRound16[[#This Row],[Table_Rank_Code_1]],1))</f>
        <v>Winner Group E</v>
      </c>
      <c r="K13" s="54" t="str">
        <f ca="1">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3rd Group A/B/C/D</v>
      </c>
      <c r="L13" s="54">
        <f ca="1">INDEX(tblGroupTotals[],MATCH(tblRound16[[#This Row],[Table_Rank_Code_1]],tblGroupTotals[Table_Rank_Code],0),MATCH("Team_Number",tblGroupTotals[#Headers],0))</f>
        <v>19</v>
      </c>
      <c r="M13" s="54">
        <f ca="1">INDEX(tblGroupTotals[],MATCH(IF(tblRound16[[#This Row],[Is_Third_Place]],tblRound16[[#This Row],[Third_Rank_Code]],tblRound16[[#This Row],[Table_Rank_Code_2]]),tblGroupTotals[Table_Rank_Code],0),MATCH("Team_Number",tblGroupTotals[#Headers],0))</f>
        <v>5</v>
      </c>
      <c r="N13" s="54">
        <f>INDEX(lkupRoundGame[],MATCH(tblRound16[[#This Row],[Euro_Match_Number]],lkupRoundGame[Euro_Match_Number],0),MATCH("Venue_Number",lkupRoundGame[#Headers],0))</f>
        <v>10</v>
      </c>
      <c r="O13" s="54" t="str">
        <f>INDEX(lkupRoundGame[],MATCH(tblRound16[[#This Row],[Euro_Match_Number]],lkupRoundGame[Euro_Match_Number],0),MATCH("Round_Name",lkupRoundGame[#Headers],0))</f>
        <v>Round 16</v>
      </c>
      <c r="P13" s="54">
        <f>INDEX(lkupRoundGame[],MATCH(tblRound16[[#This Row],[Euro_Match_Number]],lkupRoundGame[Euro_Match_Number],0),MATCH("Match_Date",lkupRoundGame[#Headers],0))</f>
        <v>44376</v>
      </c>
      <c r="Q13" s="54">
        <f>INDEX(lkupRoundGame[],MATCH(tblRound16[[#This Row],[Euro_Match_Number]],lkupRoundGame[Euro_Match_Number],0),MATCH("Match_Time_UK",lkupRoundGame[#Headers],0))</f>
        <v>0.83333333333333337</v>
      </c>
      <c r="R13" s="54" t="str">
        <f>""&amp;INDEX(lkupRoundGame[],MATCH(tblRound16[[#This Row],[Euro_Match_Number]],lkupRoundGame[Euro_Match_Number],0),MATCH("TV_Station",lkupRoundGame[#Headers],0))</f>
        <v/>
      </c>
      <c r="S13" s="54" t="b">
        <f>AND(LEN(tblRound16[[#This Row],[Team A Goals]])&gt;0,LEN(tblRound16[[#This Row],[Team B Goals]])&gt;0,tblRound16[[#This Row],[Team A Goals]]&lt;&gt;tblRound16[[#This Row],[Team B Goals]])</f>
        <v>0</v>
      </c>
      <c r="T13" s="54" t="b">
        <f>AND(LEN(tblRound16[[#This Row],[Team A AET]])&gt;0,LEN(tblRound16[[#This Row],[Team B AET]])&gt;0,tblRound16[[#This Row],[Team A AET]]&lt;&gt;tblRound16[[#This Row],[Team B AET]])</f>
        <v>0</v>
      </c>
      <c r="U13" s="54" t="b">
        <f>AND(LEN(tblRound16[[#This Row],[Team A Penalties]])&gt;0,LEN(tblRound16[[#This Row],[Team B Penalties]])&gt;0)</f>
        <v>0</v>
      </c>
      <c r="V13" s="54" t="b">
        <f ca="1">AND(OR(tblRound16[[#This Row],[Is_Result_Goals]:[Is_Result_Penalties]]),tblRound16[[#This Row],[Is_Group_Complete_1]],tblRound16[[#This Row],[Is_Group_Complete_2]])</f>
        <v>0</v>
      </c>
      <c r="W13" s="54" t="str">
        <f>IF(tblRound16[[#This Row],[Is_Result_Goals]],tblRound16[[#This Row],[Team A Goals]],IF(tblRound16[[#This Row],[Is_Result_AET]],tblRound16[[#This Row],[Team A AET]],IF(tblRound16[[#This Row],[Is_Result_Penalties]],tblRound16[[#This Row],[Team A Penalties]],"")))</f>
        <v/>
      </c>
      <c r="X13" s="54" t="str">
        <f>IF(tblRound16[[#This Row],[Is_Result_Goals]],tblRound16[[#This Row],[Team B Goals]],IF(tblRound16[[#This Row],[Is_Result_AET]],tblRound16[[#This Row],[Team B AET]],IF(tblRound16[[#This Row],[Is_Result_Penalties]],tblRound16[[#This Row],[Team B Penalties]],"")))</f>
        <v/>
      </c>
      <c r="Y13" s="54" t="str">
        <f ca="1">IF(tblRound16[[#This Row],[Is_Complete]],IF(tblRound16[[#This Row],[Team_1_Value]]&gt;tblRound16[[#This Row],[Team_2_Value]],tblRound16[[#This Row],[Team_1_Number]],tblRound16[[#This Row],[Team_2_Number]]),"")</f>
        <v/>
      </c>
      <c r="Z13" s="95">
        <f>tblRound16[[#This Row],[Euro_Match_Number]]</f>
        <v>43</v>
      </c>
      <c r="AA13" s="95" t="str">
        <f>tblRound16[[#This Row],[Round_Name]]</f>
        <v>Round 16</v>
      </c>
      <c r="AB13" s="95" t="str">
        <f>TEXT(SUM(tblRound16[[#This Row],[Match_Date]],tblRound16[[#This Row],[Match_Time_UK]]),"ddd dd mmm hh:mm")&amp;IF(LEN(tblRound16[[#This Row],[TV_Station]])&gt;0," ("&amp;tblRound16[[#This Row],[TV_Station]]&amp;")","")</f>
        <v>Tue 29 Jun 20:00</v>
      </c>
      <c r="AC13" s="95" t="str">
        <f>INDEX(lkupVenue[],MATCH(tblRound16[[#This Row],[Venue_Number]],lkupVenue[Venue_Number],0),MATCH("Venue_Short",lkupVenue[#Headers],0))</f>
        <v>Hampden Park (SCO)</v>
      </c>
      <c r="AD13" s="96" t="str">
        <f ca="1">IF(tblRound16[[#This Row],[Is_Group_Complete_1]],INDEX(lkupTeam[],MATCH(tblRound16[[#This Row],[Team_1_Number]],lkupTeam[Team_Number],0),MATCH("Team",lkupTeam[#Headers],0)),tblRound16[[#This Row],[Team_1_Group_Name]])</f>
        <v>Winner Group E</v>
      </c>
      <c r="AE13" s="97"/>
      <c r="AF13" s="97"/>
      <c r="AG13" s="97"/>
      <c r="AH13" s="96" t="str">
        <f ca="1">IF(tblRound16[[#This Row],[Is_Group_Complete_2]],INDEX(lkupTeam[],MATCH(tblRound16[[#This Row],[Team_2_Number]],lkupTeam[Team_Number],0),MATCH("Team",lkupTeam[#Headers],0)),tblRound16[[#This Row],[Team_2_Group_Name]])</f>
        <v>3rd Group A/B/C/D</v>
      </c>
      <c r="AI13" s="97"/>
      <c r="AJ13" s="97"/>
      <c r="AK13" s="97"/>
    </row>
    <row r="14" spans="2:37" ht="7.5" customHeight="1" x14ac:dyDescent="0.25"/>
    <row r="15" spans="2:37" ht="7.5" customHeight="1" x14ac:dyDescent="0.25"/>
    <row r="16" spans="2:37" s="161" customFormat="1" ht="30.75" x14ac:dyDescent="0.3">
      <c r="B16" s="161" t="s">
        <v>41</v>
      </c>
      <c r="C16" s="161" t="s">
        <v>451</v>
      </c>
      <c r="D16" s="161" t="s">
        <v>454</v>
      </c>
      <c r="E16" s="161" t="s">
        <v>452</v>
      </c>
      <c r="F16" s="161" t="s">
        <v>453</v>
      </c>
      <c r="G16" s="161" t="s">
        <v>492</v>
      </c>
      <c r="H16" s="161" t="s">
        <v>498</v>
      </c>
      <c r="I16" s="161" t="s">
        <v>499</v>
      </c>
      <c r="J16" s="161" t="s">
        <v>500</v>
      </c>
      <c r="K16" s="161" t="s">
        <v>501</v>
      </c>
      <c r="L16" s="161" t="s">
        <v>436</v>
      </c>
      <c r="M16" s="161" t="s">
        <v>437</v>
      </c>
      <c r="N16" s="161" t="s">
        <v>149</v>
      </c>
      <c r="O16" s="161" t="s">
        <v>455</v>
      </c>
      <c r="P16" s="161" t="s">
        <v>146</v>
      </c>
      <c r="Q16" s="161" t="s">
        <v>147</v>
      </c>
      <c r="R16" s="161" t="s">
        <v>441</v>
      </c>
      <c r="S16" s="161" t="s">
        <v>445</v>
      </c>
      <c r="T16" s="161" t="s">
        <v>446</v>
      </c>
      <c r="U16" s="161" t="s">
        <v>447</v>
      </c>
      <c r="V16" s="161" t="s">
        <v>192</v>
      </c>
      <c r="W16" s="161" t="s">
        <v>449</v>
      </c>
      <c r="X16" s="161" t="s">
        <v>450</v>
      </c>
      <c r="Y16" s="161" t="s">
        <v>448</v>
      </c>
      <c r="Z16" s="162" t="s">
        <v>148</v>
      </c>
      <c r="AA16" s="162" t="s">
        <v>462</v>
      </c>
      <c r="AB16" s="162" t="s">
        <v>189</v>
      </c>
      <c r="AC16" s="162" t="s">
        <v>177</v>
      </c>
      <c r="AD16" s="162" t="s">
        <v>178</v>
      </c>
      <c r="AE16" s="162" t="s">
        <v>179</v>
      </c>
      <c r="AF16" s="162" t="s">
        <v>443</v>
      </c>
      <c r="AG16" s="162" t="s">
        <v>182</v>
      </c>
      <c r="AH16" s="162" t="s">
        <v>183</v>
      </c>
      <c r="AI16" s="162" t="s">
        <v>184</v>
      </c>
      <c r="AJ16" s="162" t="s">
        <v>444</v>
      </c>
      <c r="AK16" s="162" t="s">
        <v>187</v>
      </c>
    </row>
    <row r="17" spans="2:37" ht="16.5" x14ac:dyDescent="0.3">
      <c r="B17" s="54">
        <v>45</v>
      </c>
      <c r="C17" s="54">
        <v>41</v>
      </c>
      <c r="E17" s="54">
        <v>42</v>
      </c>
      <c r="H17" s="54" t="b">
        <f ca="1">COUNTIFS(tblRound16[Euro_Match_Number],tblRound8[[#This Row],[KO_Match_Number_1]],tblRound16[Is_Complete],TRUE)&gt;0</f>
        <v>0</v>
      </c>
      <c r="I17" s="54" t="b">
        <f ca="1">COUNTIFS(tblRound16[Euro_Match_Number],tblRound8[[#This Row],[KO_Match_Number_2]],tblRound16[Is_Complete],TRUE)&gt;0</f>
        <v>0</v>
      </c>
      <c r="J17" s="54" t="str">
        <f>"Winner Match "&amp;tblRound8[[#This Row],[KO_Match_Number_1]]</f>
        <v>Winner Match 41</v>
      </c>
      <c r="K17" s="54" t="str">
        <f>"Winner Match "&amp;tblRound8[[#This Row],[KO_Match_Number_2]]</f>
        <v>Winner Match 42</v>
      </c>
      <c r="L17" s="54" t="str">
        <f ca="1">INDEX(tblRound16[],MATCH(tblRound8[[#This Row],[KO_Match_Number_1]],tblRound16[Euro_Match_Number],0),MATCH("Team_Number_Winner",tblRound16[#Headers],0))</f>
        <v/>
      </c>
      <c r="M17" s="54" t="str">
        <f ca="1">INDEX(tblRound16[],MATCH(tblRound8[[#This Row],[KO_Match_Number_2]],tblRound16[Euro_Match_Number],0),MATCH("Team_Number_Winner",tblRound16[#Headers],0))</f>
        <v/>
      </c>
      <c r="N17" s="54">
        <f>INDEX(lkupRoundGame[],MATCH(tblRound8[[#This Row],[Euro_Match_Number]],lkupRoundGame[Euro_Match_Number],0),MATCH("Venue_Number",lkupRoundGame[#Headers],0))</f>
        <v>5</v>
      </c>
      <c r="O17" s="54" t="str">
        <f>INDEX(lkupRoundGame[],MATCH(tblRound8[[#This Row],[Euro_Match_Number]],lkupRoundGame[Euro_Match_Number],0),MATCH("Round_Name",lkupRoundGame[#Headers],0))</f>
        <v>Quarter Final</v>
      </c>
      <c r="P17" s="54">
        <f>INDEX(lkupRoundGame[],MATCH(tblRound8[[#This Row],[Euro_Match_Number]],lkupRoundGame[Euro_Match_Number],0),MATCH("Match_Date",lkupRoundGame[#Headers],0))</f>
        <v>44379</v>
      </c>
      <c r="Q17" s="54">
        <f>INDEX(lkupRoundGame[],MATCH(tblRound8[[#This Row],[Euro_Match_Number]],lkupRoundGame[Euro_Match_Number],0),MATCH("Match_Time_UK",lkupRoundGame[#Headers],0))</f>
        <v>0.70833333333333337</v>
      </c>
      <c r="R17" s="54" t="str">
        <f>""&amp;INDEX(lkupRoundGame[],MATCH(tblRound8[[#This Row],[Euro_Match_Number]],lkupRoundGame[Euro_Match_Number],0),MATCH("TV_Station",lkupRoundGame[#Headers],0))</f>
        <v/>
      </c>
      <c r="S17" s="54" t="b">
        <f>AND(LEN(tblRound8[[#This Row],[Team A Goals]])&gt;0,LEN(tblRound8[[#This Row],[Team B Goals]])&gt;0,tblRound8[[#This Row],[Team A Goals]]&lt;&gt;tblRound8[[#This Row],[Team B Goals]])</f>
        <v>0</v>
      </c>
      <c r="T17" s="54" t="b">
        <f>AND(LEN(tblRound8[[#This Row],[Team A AET]])&gt;0,LEN(tblRound8[[#This Row],[Team B AET]])&gt;0,tblRound8[[#This Row],[Team A AET]]&lt;&gt;tblRound8[[#This Row],[Team B AET]])</f>
        <v>0</v>
      </c>
      <c r="U17" s="54" t="b">
        <f>AND(LEN(tblRound8[[#This Row],[Team A Penalties]])&gt;0,LEN(tblRound8[[#This Row],[Team B Penalties]])&gt;0)</f>
        <v>0</v>
      </c>
      <c r="V17" s="54" t="b">
        <f ca="1">AND(OR(tblRound8[[#This Row],[Is_Result_Goals]:[Is_Result_Penalties]]),tblRound8[[#This Row],[Is_Match_Complete_1]],tblRound8[[#This Row],[Is_Match_Complete_2]])</f>
        <v>0</v>
      </c>
      <c r="W17" s="54" t="str">
        <f>IF(tblRound8[[#This Row],[Is_Result_Goals]],tblRound8[[#This Row],[Team A Goals]],IF(tblRound8[[#This Row],[Is_Result_AET]],tblRound8[[#This Row],[Team A AET]],IF(tblRound8[[#This Row],[Is_Result_Penalties]],tblRound8[[#This Row],[Team A Penalties]],"")))</f>
        <v/>
      </c>
      <c r="X17" s="54" t="str">
        <f>IF(tblRound8[[#This Row],[Is_Result_Goals]],tblRound8[[#This Row],[Team B Goals]],IF(tblRound8[[#This Row],[Is_Result_AET]],tblRound8[[#This Row],[Team B AET]],IF(tblRound8[[#This Row],[Is_Result_Penalties]],tblRound8[[#This Row],[Team B Penalties]],"")))</f>
        <v/>
      </c>
      <c r="Y17" s="54" t="str">
        <f ca="1">IF(tblRound8[[#This Row],[Is_Complete]],IF(tblRound8[[#This Row],[Team_1_Value]]&gt;tblRound8[[#This Row],[Team_2_Value]],tblRound8[[#This Row],[Team_1_Number]],tblRound8[[#This Row],[Team_2_Number]]),"")</f>
        <v/>
      </c>
      <c r="Z17" s="95">
        <f>tblRound8[[#This Row],[Euro_Match_Number]]</f>
        <v>45</v>
      </c>
      <c r="AA17" s="95" t="str">
        <f>tblRound8[[#This Row],[Round_Name]]</f>
        <v>Quarter Final</v>
      </c>
      <c r="AB17" s="95" t="str">
        <f>TEXT(SUM(tblRound8[[#This Row],[Match_Date]],tblRound8[[#This Row],[Match_Time_UK]]),"ddd dd mmm hh:mm")&amp;IF(LEN(tblRound8[[#This Row],[TV_Station]])&gt;0," ("&amp;tblRound8[[#This Row],[TV_Station]]&amp;")","")</f>
        <v>Fri 02 Jul 17:00</v>
      </c>
      <c r="AC17" s="95" t="str">
        <f>INDEX(lkupVenue[],MATCH(tblRound8[[#This Row],[Venue_Number]],lkupVenue[Venue_Number],0),MATCH("Venue_Short",lkupVenue[#Headers],0))</f>
        <v>Krestovsky Stadium (RUS)</v>
      </c>
      <c r="AD17" s="96" t="str">
        <f ca="1">IF(tblRound8[[#This Row],[Is_Match_Complete_1]],INDEX(lkupTeam[],MATCH(tblRound8[[#This Row],[Team_1_Number]],lkupTeam[Team_Number],0),MATCH("Team",lkupTeam[#Headers],0)),tblRound8[[#This Row],[Team_1_Round_Name]])</f>
        <v>Winner Match 41</v>
      </c>
      <c r="AE17" s="97"/>
      <c r="AF17" s="97"/>
      <c r="AG17" s="97"/>
      <c r="AH17" s="96" t="str">
        <f ca="1">IF(tblRound8[[#This Row],[Is_Match_Complete_2]],INDEX(lkupTeam[],MATCH(tblRound8[[#This Row],[Team_2_Number]],lkupTeam[Team_Number],0),MATCH("Team",lkupTeam[#Headers],0)),tblRound8[[#This Row],[Team_2_Round_Name]])</f>
        <v>Winner Match 42</v>
      </c>
      <c r="AI17" s="97"/>
      <c r="AJ17" s="97"/>
      <c r="AK17" s="97"/>
    </row>
    <row r="18" spans="2:37" ht="16.5" x14ac:dyDescent="0.3">
      <c r="B18" s="54">
        <v>46</v>
      </c>
      <c r="C18" s="54">
        <v>39</v>
      </c>
      <c r="E18" s="54">
        <v>37</v>
      </c>
      <c r="H18" s="54" t="b">
        <f ca="1">COUNTIFS(tblRound16[Euro_Match_Number],tblRound8[[#This Row],[KO_Match_Number_1]],tblRound16[Is_Complete],TRUE)&gt;0</f>
        <v>0</v>
      </c>
      <c r="I18" s="54" t="b">
        <f ca="1">COUNTIFS(tblRound16[Euro_Match_Number],tblRound8[[#This Row],[KO_Match_Number_2]],tblRound16[Is_Complete],TRUE)&gt;0</f>
        <v>0</v>
      </c>
      <c r="J18" s="54" t="str">
        <f>"Winner Match "&amp;tblRound8[[#This Row],[KO_Match_Number_1]]</f>
        <v>Winner Match 39</v>
      </c>
      <c r="K18" s="54" t="str">
        <f>"Winner Match "&amp;tblRound8[[#This Row],[KO_Match_Number_2]]</f>
        <v>Winner Match 37</v>
      </c>
      <c r="L18" s="54" t="str">
        <f ca="1">INDEX(tblRound16[],MATCH(tblRound8[[#This Row],[KO_Match_Number_1]],tblRound16[Euro_Match_Number],0),MATCH("Team_Number_Winner",tblRound16[#Headers],0))</f>
        <v/>
      </c>
      <c r="M18" s="54" t="str">
        <f ca="1">INDEX(tblRound16[],MATCH(tblRound8[[#This Row],[KO_Match_Number_2]],tblRound16[Euro_Match_Number],0),MATCH("Team_Number_Winner",tblRound16[#Headers],0))</f>
        <v/>
      </c>
      <c r="N18" s="54">
        <f>INDEX(lkupRoundGame[],MATCH(tblRound8[[#This Row],[Euro_Match_Number]],lkupRoundGame[Euro_Match_Number],0),MATCH("Venue_Number",lkupRoundGame[#Headers],0))</f>
        <v>3</v>
      </c>
      <c r="O18" s="54" t="str">
        <f>INDEX(lkupRoundGame[],MATCH(tblRound8[[#This Row],[Euro_Match_Number]],lkupRoundGame[Euro_Match_Number],0),MATCH("Round_Name",lkupRoundGame[#Headers],0))</f>
        <v>Quarter Final</v>
      </c>
      <c r="P18" s="54">
        <f>INDEX(lkupRoundGame[],MATCH(tblRound8[[#This Row],[Euro_Match_Number]],lkupRoundGame[Euro_Match_Number],0),MATCH("Match_Date",lkupRoundGame[#Headers],0))</f>
        <v>44379</v>
      </c>
      <c r="Q18" s="54">
        <f>INDEX(lkupRoundGame[],MATCH(tblRound8[[#This Row],[Euro_Match_Number]],lkupRoundGame[Euro_Match_Number],0),MATCH("Match_Time_UK",lkupRoundGame[#Headers],0))</f>
        <v>0.83333333333333337</v>
      </c>
      <c r="R18" s="54" t="str">
        <f>""&amp;INDEX(lkupRoundGame[],MATCH(tblRound8[[#This Row],[Euro_Match_Number]],lkupRoundGame[Euro_Match_Number],0),MATCH("TV_Station",lkupRoundGame[#Headers],0))</f>
        <v/>
      </c>
      <c r="S18" s="54" t="b">
        <f>AND(LEN(tblRound8[[#This Row],[Team A Goals]])&gt;0,LEN(tblRound8[[#This Row],[Team B Goals]])&gt;0,tblRound8[[#This Row],[Team A Goals]]&lt;&gt;tblRound8[[#This Row],[Team B Goals]])</f>
        <v>0</v>
      </c>
      <c r="T18" s="54" t="b">
        <f>AND(LEN(tblRound8[[#This Row],[Team A AET]])&gt;0,LEN(tblRound8[[#This Row],[Team B AET]])&gt;0,tblRound8[[#This Row],[Team A AET]]&lt;&gt;tblRound8[[#This Row],[Team B AET]])</f>
        <v>0</v>
      </c>
      <c r="U18" s="54" t="b">
        <f>AND(LEN(tblRound8[[#This Row],[Team A Penalties]])&gt;0,LEN(tblRound8[[#This Row],[Team B Penalties]])&gt;0)</f>
        <v>0</v>
      </c>
      <c r="V18" s="54" t="b">
        <f ca="1">AND(OR(tblRound8[[#This Row],[Is_Result_Goals]:[Is_Result_Penalties]]),tblRound8[[#This Row],[Is_Match_Complete_1]],tblRound8[[#This Row],[Is_Match_Complete_2]])</f>
        <v>0</v>
      </c>
      <c r="W18" s="54" t="str">
        <f>IF(tblRound8[[#This Row],[Is_Result_Goals]],tblRound8[[#This Row],[Team A Goals]],IF(tblRound8[[#This Row],[Is_Result_AET]],tblRound8[[#This Row],[Team A AET]],IF(tblRound8[[#This Row],[Is_Result_Penalties]],tblRound8[[#This Row],[Team A Penalties]],"")))</f>
        <v/>
      </c>
      <c r="X18" s="54" t="str">
        <f>IF(tblRound8[[#This Row],[Is_Result_Goals]],tblRound8[[#This Row],[Team B Goals]],IF(tblRound8[[#This Row],[Is_Result_AET]],tblRound8[[#This Row],[Team B AET]],IF(tblRound8[[#This Row],[Is_Result_Penalties]],tblRound8[[#This Row],[Team B Penalties]],"")))</f>
        <v/>
      </c>
      <c r="Y18" s="54" t="str">
        <f ca="1">IF(tblRound8[[#This Row],[Is_Complete]],IF(tblRound8[[#This Row],[Team_1_Value]]&gt;tblRound8[[#This Row],[Team_2_Value]],tblRound8[[#This Row],[Team_1_Number]],tblRound8[[#This Row],[Team_2_Number]]),"")</f>
        <v/>
      </c>
      <c r="Z18" s="95">
        <f>tblRound8[[#This Row],[Euro_Match_Number]]</f>
        <v>46</v>
      </c>
      <c r="AA18" s="95" t="str">
        <f>tblRound8[[#This Row],[Round_Name]]</f>
        <v>Quarter Final</v>
      </c>
      <c r="AB18" s="95" t="str">
        <f>TEXT(SUM(tblRound8[[#This Row],[Match_Date]],tblRound8[[#This Row],[Match_Time_UK]]),"ddd dd mmm hh:mm")&amp;IF(LEN(tblRound8[[#This Row],[TV_Station]])&gt;0," ("&amp;tblRound8[[#This Row],[TV_Station]]&amp;")","")</f>
        <v>Fri 02 Jul 20:00</v>
      </c>
      <c r="AC18" s="95" t="str">
        <f>INDEX(lkupVenue[],MATCH(tblRound8[[#This Row],[Venue_Number]],lkupVenue[Venue_Number],0),MATCH("Venue_Short",lkupVenue[#Headers],0))</f>
        <v>Allianz Arena (GER)</v>
      </c>
      <c r="AD18" s="96" t="str">
        <f ca="1">IF(tblRound8[[#This Row],[Is_Match_Complete_1]],INDEX(lkupTeam[],MATCH(tblRound8[[#This Row],[Team_1_Number]],lkupTeam[Team_Number],0),MATCH("Team",lkupTeam[#Headers],0)),tblRound8[[#This Row],[Team_1_Round_Name]])</f>
        <v>Winner Match 39</v>
      </c>
      <c r="AE18" s="97"/>
      <c r="AF18" s="97"/>
      <c r="AG18" s="97"/>
      <c r="AH18" s="96" t="str">
        <f ca="1">IF(tblRound8[[#This Row],[Is_Match_Complete_2]],INDEX(lkupTeam[],MATCH(tblRound8[[#This Row],[Team_2_Number]],lkupTeam[Team_Number],0),MATCH("Team",lkupTeam[#Headers],0)),tblRound8[[#This Row],[Team_2_Round_Name]])</f>
        <v>Winner Match 37</v>
      </c>
      <c r="AI18" s="97"/>
      <c r="AJ18" s="97"/>
      <c r="AK18" s="97"/>
    </row>
    <row r="19" spans="2:37" ht="16.5" x14ac:dyDescent="0.3">
      <c r="B19" s="54">
        <v>47</v>
      </c>
      <c r="C19" s="54">
        <v>40</v>
      </c>
      <c r="E19" s="54">
        <v>38</v>
      </c>
      <c r="H19" s="54" t="b">
        <f ca="1">COUNTIFS(tblRound16[Euro_Match_Number],tblRound8[[#This Row],[KO_Match_Number_1]],tblRound16[Is_Complete],TRUE)&gt;0</f>
        <v>0</v>
      </c>
      <c r="I19" s="54" t="b">
        <f ca="1">COUNTIFS(tblRound16[Euro_Match_Number],tblRound8[[#This Row],[KO_Match_Number_2]],tblRound16[Is_Complete],TRUE)&gt;0</f>
        <v>0</v>
      </c>
      <c r="J19" s="54" t="str">
        <f>"Winner Match "&amp;tblRound8[[#This Row],[KO_Match_Number_1]]</f>
        <v>Winner Match 40</v>
      </c>
      <c r="K19" s="54" t="str">
        <f>"Winner Match "&amp;tblRound8[[#This Row],[KO_Match_Number_2]]</f>
        <v>Winner Match 38</v>
      </c>
      <c r="L19" s="54" t="str">
        <f ca="1">INDEX(tblRound16[],MATCH(tblRound8[[#This Row],[KO_Match_Number_1]],tblRound16[Euro_Match_Number],0),MATCH("Team_Number_Winner",tblRound16[#Headers],0))</f>
        <v/>
      </c>
      <c r="M19" s="54" t="str">
        <f ca="1">INDEX(tblRound16[],MATCH(tblRound8[[#This Row],[KO_Match_Number_2]],tblRound16[Euro_Match_Number],0),MATCH("Team_Number_Winner",tblRound16[#Headers],0))</f>
        <v/>
      </c>
      <c r="N19" s="54">
        <f>INDEX(lkupRoundGame[],MATCH(tblRound8[[#This Row],[Euro_Match_Number]],lkupRoundGame[Euro_Match_Number],0),MATCH("Venue_Number",lkupRoundGame[#Headers],0))</f>
        <v>4</v>
      </c>
      <c r="O19" s="54" t="str">
        <f>INDEX(lkupRoundGame[],MATCH(tblRound8[[#This Row],[Euro_Match_Number]],lkupRoundGame[Euro_Match_Number],0),MATCH("Round_Name",lkupRoundGame[#Headers],0))</f>
        <v>Quarter Final</v>
      </c>
      <c r="P19" s="54">
        <f>INDEX(lkupRoundGame[],MATCH(tblRound8[[#This Row],[Euro_Match_Number]],lkupRoundGame[Euro_Match_Number],0),MATCH("Match_Date",lkupRoundGame[#Headers],0))</f>
        <v>44380</v>
      </c>
      <c r="Q19" s="54">
        <f>INDEX(lkupRoundGame[],MATCH(tblRound8[[#This Row],[Euro_Match_Number]],lkupRoundGame[Euro_Match_Number],0),MATCH("Match_Time_UK",lkupRoundGame[#Headers],0))</f>
        <v>0.70833333333333337</v>
      </c>
      <c r="R19" s="54" t="str">
        <f>""&amp;INDEX(lkupRoundGame[],MATCH(tblRound8[[#This Row],[Euro_Match_Number]],lkupRoundGame[Euro_Match_Number],0),MATCH("TV_Station",lkupRoundGame[#Headers],0))</f>
        <v/>
      </c>
      <c r="S19" s="54" t="b">
        <f>AND(LEN(tblRound8[[#This Row],[Team A Goals]])&gt;0,LEN(tblRound8[[#This Row],[Team B Goals]])&gt;0,tblRound8[[#This Row],[Team A Goals]]&lt;&gt;tblRound8[[#This Row],[Team B Goals]])</f>
        <v>0</v>
      </c>
      <c r="T19" s="54" t="b">
        <f>AND(LEN(tblRound8[[#This Row],[Team A AET]])&gt;0,LEN(tblRound8[[#This Row],[Team B AET]])&gt;0,tblRound8[[#This Row],[Team A AET]]&lt;&gt;tblRound8[[#This Row],[Team B AET]])</f>
        <v>0</v>
      </c>
      <c r="U19" s="54" t="b">
        <f>AND(LEN(tblRound8[[#This Row],[Team A Penalties]])&gt;0,LEN(tblRound8[[#This Row],[Team B Penalties]])&gt;0)</f>
        <v>0</v>
      </c>
      <c r="V19" s="54" t="b">
        <f ca="1">AND(OR(tblRound8[[#This Row],[Is_Result_Goals]:[Is_Result_Penalties]]),tblRound8[[#This Row],[Is_Match_Complete_1]],tblRound8[[#This Row],[Is_Match_Complete_2]])</f>
        <v>0</v>
      </c>
      <c r="W19" s="54" t="str">
        <f>IF(tblRound8[[#This Row],[Is_Result_Goals]],tblRound8[[#This Row],[Team A Goals]],IF(tblRound8[[#This Row],[Is_Result_AET]],tblRound8[[#This Row],[Team A AET]],IF(tblRound8[[#This Row],[Is_Result_Penalties]],tblRound8[[#This Row],[Team A Penalties]],"")))</f>
        <v/>
      </c>
      <c r="X19" s="54" t="str">
        <f>IF(tblRound8[[#This Row],[Is_Result_Goals]],tblRound8[[#This Row],[Team B Goals]],IF(tblRound8[[#This Row],[Is_Result_AET]],tblRound8[[#This Row],[Team B AET]],IF(tblRound8[[#This Row],[Is_Result_Penalties]],tblRound8[[#This Row],[Team B Penalties]],"")))</f>
        <v/>
      </c>
      <c r="Y19" s="54" t="str">
        <f ca="1">IF(tblRound8[[#This Row],[Is_Complete]],IF(tblRound8[[#This Row],[Team_1_Value]]&gt;tblRound8[[#This Row],[Team_2_Value]],tblRound8[[#This Row],[Team_1_Number]],tblRound8[[#This Row],[Team_2_Number]]),"")</f>
        <v/>
      </c>
      <c r="Z19" s="95">
        <f>tblRound8[[#This Row],[Euro_Match_Number]]</f>
        <v>47</v>
      </c>
      <c r="AA19" s="95" t="str">
        <f>tblRound8[[#This Row],[Round_Name]]</f>
        <v>Quarter Final</v>
      </c>
      <c r="AB19" s="95" t="str">
        <f>TEXT(SUM(tblRound8[[#This Row],[Match_Date]],tblRound8[[#This Row],[Match_Time_UK]]),"ddd dd mmm hh:mm")&amp;IF(LEN(tblRound8[[#This Row],[TV_Station]])&gt;0," ("&amp;tblRound8[[#This Row],[TV_Station]]&amp;")","")</f>
        <v>Sat 03 Jul 17:00</v>
      </c>
      <c r="AC19" s="95" t="str">
        <f>INDEX(lkupVenue[],MATCH(tblRound8[[#This Row],[Venue_Number]],lkupVenue[Venue_Number],0),MATCH("Venue_Short",lkupVenue[#Headers],0))</f>
        <v>Olympic Stadium (AZE)</v>
      </c>
      <c r="AD19" s="96" t="str">
        <f ca="1">IF(tblRound8[[#This Row],[Is_Match_Complete_1]],INDEX(lkupTeam[],MATCH(tblRound8[[#This Row],[Team_1_Number]],lkupTeam[Team_Number],0),MATCH("Team",lkupTeam[#Headers],0)),tblRound8[[#This Row],[Team_1_Round_Name]])</f>
        <v>Winner Match 40</v>
      </c>
      <c r="AE19" s="97"/>
      <c r="AF19" s="97"/>
      <c r="AG19" s="97"/>
      <c r="AH19" s="96" t="str">
        <f ca="1">IF(tblRound8[[#This Row],[Is_Match_Complete_2]],INDEX(lkupTeam[],MATCH(tblRound8[[#This Row],[Team_2_Number]],lkupTeam[Team_Number],0),MATCH("Team",lkupTeam[#Headers],0)),tblRound8[[#This Row],[Team_2_Round_Name]])</f>
        <v>Winner Match 38</v>
      </c>
      <c r="AI19" s="97"/>
      <c r="AJ19" s="97"/>
      <c r="AK19" s="97"/>
    </row>
    <row r="20" spans="2:37" ht="16.5" x14ac:dyDescent="0.3">
      <c r="B20" s="54">
        <v>48</v>
      </c>
      <c r="C20" s="54">
        <v>43</v>
      </c>
      <c r="E20" s="54">
        <v>44</v>
      </c>
      <c r="H20" s="54" t="b">
        <f ca="1">COUNTIFS(tblRound16[Euro_Match_Number],tblRound8[[#This Row],[KO_Match_Number_1]],tblRound16[Is_Complete],TRUE)&gt;0</f>
        <v>0</v>
      </c>
      <c r="I20" s="54" t="b">
        <f ca="1">COUNTIFS(tblRound16[Euro_Match_Number],tblRound8[[#This Row],[KO_Match_Number_2]],tblRound16[Is_Complete],TRUE)&gt;0</f>
        <v>0</v>
      </c>
      <c r="J20" s="54" t="str">
        <f>"Winner Match "&amp;tblRound8[[#This Row],[KO_Match_Number_1]]</f>
        <v>Winner Match 43</v>
      </c>
      <c r="K20" s="54" t="str">
        <f>"Winner Match "&amp;tblRound8[[#This Row],[KO_Match_Number_2]]</f>
        <v>Winner Match 44</v>
      </c>
      <c r="L20" s="54" t="str">
        <f ca="1">INDEX(tblRound16[],MATCH(tblRound8[[#This Row],[KO_Match_Number_1]],tblRound16[Euro_Match_Number],0),MATCH("Team_Number_Winner",tblRound16[#Headers],0))</f>
        <v/>
      </c>
      <c r="M20" s="54" t="str">
        <f ca="1">INDEX(tblRound16[],MATCH(tblRound8[[#This Row],[KO_Match_Number_2]],tblRound16[Euro_Match_Number],0),MATCH("Team_Number_Winner",tblRound16[#Headers],0))</f>
        <v/>
      </c>
      <c r="N20" s="54">
        <f>INDEX(lkupRoundGame[],MATCH(tblRound8[[#This Row],[Euro_Match_Number]],lkupRoundGame[Euro_Match_Number],0),MATCH("Venue_Number",lkupRoundGame[#Headers],0))</f>
        <v>2</v>
      </c>
      <c r="O20" s="54" t="str">
        <f>INDEX(lkupRoundGame[],MATCH(tblRound8[[#This Row],[Euro_Match_Number]],lkupRoundGame[Euro_Match_Number],0),MATCH("Round_Name",lkupRoundGame[#Headers],0))</f>
        <v>Quarter Final</v>
      </c>
      <c r="P20" s="54">
        <f>INDEX(lkupRoundGame[],MATCH(tblRound8[[#This Row],[Euro_Match_Number]],lkupRoundGame[Euro_Match_Number],0),MATCH("Match_Date",lkupRoundGame[#Headers],0))</f>
        <v>44380</v>
      </c>
      <c r="Q20" s="54">
        <f>INDEX(lkupRoundGame[],MATCH(tblRound8[[#This Row],[Euro_Match_Number]],lkupRoundGame[Euro_Match_Number],0),MATCH("Match_Time_UK",lkupRoundGame[#Headers],0))</f>
        <v>0.83333333333333337</v>
      </c>
      <c r="R20" s="54" t="str">
        <f>""&amp;INDEX(lkupRoundGame[],MATCH(tblRound8[[#This Row],[Euro_Match_Number]],lkupRoundGame[Euro_Match_Number],0),MATCH("TV_Station",lkupRoundGame[#Headers],0))</f>
        <v/>
      </c>
      <c r="S20" s="54" t="b">
        <f>AND(LEN(tblRound8[[#This Row],[Team A Goals]])&gt;0,LEN(tblRound8[[#This Row],[Team B Goals]])&gt;0,tblRound8[[#This Row],[Team A Goals]]&lt;&gt;tblRound8[[#This Row],[Team B Goals]])</f>
        <v>0</v>
      </c>
      <c r="T20" s="54" t="b">
        <f>AND(LEN(tblRound8[[#This Row],[Team A AET]])&gt;0,LEN(tblRound8[[#This Row],[Team B AET]])&gt;0,tblRound8[[#This Row],[Team A AET]]&lt;&gt;tblRound8[[#This Row],[Team B AET]])</f>
        <v>0</v>
      </c>
      <c r="U20" s="54" t="b">
        <f>AND(LEN(tblRound8[[#This Row],[Team A Penalties]])&gt;0,LEN(tblRound8[[#This Row],[Team B Penalties]])&gt;0)</f>
        <v>0</v>
      </c>
      <c r="V20" s="54" t="b">
        <f ca="1">AND(OR(tblRound8[[#This Row],[Is_Result_Goals]:[Is_Result_Penalties]]),tblRound8[[#This Row],[Is_Match_Complete_1]],tblRound8[[#This Row],[Is_Match_Complete_2]])</f>
        <v>0</v>
      </c>
      <c r="W20" s="54" t="str">
        <f>IF(tblRound8[[#This Row],[Is_Result_Goals]],tblRound8[[#This Row],[Team A Goals]],IF(tblRound8[[#This Row],[Is_Result_AET]],tblRound8[[#This Row],[Team A AET]],IF(tblRound8[[#This Row],[Is_Result_Penalties]],tblRound8[[#This Row],[Team A Penalties]],"")))</f>
        <v/>
      </c>
      <c r="X20" s="54" t="str">
        <f>IF(tblRound8[[#This Row],[Is_Result_Goals]],tblRound8[[#This Row],[Team B Goals]],IF(tblRound8[[#This Row],[Is_Result_AET]],tblRound8[[#This Row],[Team B AET]],IF(tblRound8[[#This Row],[Is_Result_Penalties]],tblRound8[[#This Row],[Team B Penalties]],"")))</f>
        <v/>
      </c>
      <c r="Y20" s="54" t="str">
        <f ca="1">IF(tblRound8[[#This Row],[Is_Complete]],IF(tblRound8[[#This Row],[Team_1_Value]]&gt;tblRound8[[#This Row],[Team_2_Value]],tblRound8[[#This Row],[Team_1_Number]],tblRound8[[#This Row],[Team_2_Number]]),"")</f>
        <v/>
      </c>
      <c r="Z20" s="95">
        <f>tblRound8[[#This Row],[Euro_Match_Number]]</f>
        <v>48</v>
      </c>
      <c r="AA20" s="95" t="str">
        <f>tblRound8[[#This Row],[Round_Name]]</f>
        <v>Quarter Final</v>
      </c>
      <c r="AB20" s="95" t="str">
        <f>TEXT(SUM(tblRound8[[#This Row],[Match_Date]],tblRound8[[#This Row],[Match_Time_UK]]),"ddd dd mmm hh:mm")&amp;IF(LEN(tblRound8[[#This Row],[TV_Station]])&gt;0," ("&amp;tblRound8[[#This Row],[TV_Station]]&amp;")","")</f>
        <v>Sat 03 Jul 20:00</v>
      </c>
      <c r="AC20" s="95" t="str">
        <f>INDEX(lkupVenue[],MATCH(tblRound8[[#This Row],[Venue_Number]],lkupVenue[Venue_Number],0),MATCH("Venue_Short",lkupVenue[#Headers],0))</f>
        <v>Stadio Olimpico (ITA)</v>
      </c>
      <c r="AD20" s="96" t="str">
        <f ca="1">IF(tblRound8[[#This Row],[Is_Match_Complete_1]],INDEX(lkupTeam[],MATCH(tblRound8[[#This Row],[Team_1_Number]],lkupTeam[Team_Number],0),MATCH("Team",lkupTeam[#Headers],0)),tblRound8[[#This Row],[Team_1_Round_Name]])</f>
        <v>Winner Match 43</v>
      </c>
      <c r="AE20" s="97"/>
      <c r="AF20" s="97"/>
      <c r="AG20" s="97"/>
      <c r="AH20" s="96" t="str">
        <f ca="1">IF(tblRound8[[#This Row],[Is_Match_Complete_2]],INDEX(lkupTeam[],MATCH(tblRound8[[#This Row],[Team_2_Number]],lkupTeam[Team_Number],0),MATCH("Team",lkupTeam[#Headers],0)),tblRound8[[#This Row],[Team_2_Round_Name]])</f>
        <v>Winner Match 44</v>
      </c>
      <c r="AI20" s="97"/>
      <c r="AJ20" s="97"/>
      <c r="AK20" s="97"/>
    </row>
    <row r="21" spans="2:37" ht="7.5" customHeight="1" x14ac:dyDescent="0.25"/>
    <row r="22" spans="2:37" ht="7.5" customHeight="1" x14ac:dyDescent="0.25"/>
    <row r="23" spans="2:37" s="161" customFormat="1" ht="30.75" x14ac:dyDescent="0.3">
      <c r="B23" s="161" t="s">
        <v>41</v>
      </c>
      <c r="C23" s="161" t="s">
        <v>451</v>
      </c>
      <c r="D23" s="161" t="s">
        <v>454</v>
      </c>
      <c r="E23" s="161" t="s">
        <v>452</v>
      </c>
      <c r="F23" s="161" t="s">
        <v>453</v>
      </c>
      <c r="G23" s="161" t="s">
        <v>492</v>
      </c>
      <c r="H23" s="161" t="s">
        <v>498</v>
      </c>
      <c r="I23" s="161" t="s">
        <v>499</v>
      </c>
      <c r="J23" s="161" t="s">
        <v>500</v>
      </c>
      <c r="K23" s="161" t="s">
        <v>501</v>
      </c>
      <c r="L23" s="161" t="s">
        <v>436</v>
      </c>
      <c r="M23" s="161" t="s">
        <v>437</v>
      </c>
      <c r="N23" s="161" t="s">
        <v>149</v>
      </c>
      <c r="O23" s="161" t="s">
        <v>455</v>
      </c>
      <c r="P23" s="161" t="s">
        <v>146</v>
      </c>
      <c r="Q23" s="161" t="s">
        <v>147</v>
      </c>
      <c r="R23" s="161" t="s">
        <v>441</v>
      </c>
      <c r="S23" s="161" t="s">
        <v>445</v>
      </c>
      <c r="T23" s="161" t="s">
        <v>446</v>
      </c>
      <c r="U23" s="161" t="s">
        <v>447</v>
      </c>
      <c r="V23" s="161" t="s">
        <v>192</v>
      </c>
      <c r="W23" s="161" t="s">
        <v>449</v>
      </c>
      <c r="X23" s="161" t="s">
        <v>450</v>
      </c>
      <c r="Y23" s="161" t="s">
        <v>448</v>
      </c>
      <c r="Z23" s="162" t="s">
        <v>148</v>
      </c>
      <c r="AA23" s="162" t="s">
        <v>462</v>
      </c>
      <c r="AB23" s="162" t="s">
        <v>189</v>
      </c>
      <c r="AC23" s="162" t="s">
        <v>177</v>
      </c>
      <c r="AD23" s="162" t="s">
        <v>178</v>
      </c>
      <c r="AE23" s="162" t="s">
        <v>179</v>
      </c>
      <c r="AF23" s="162" t="s">
        <v>443</v>
      </c>
      <c r="AG23" s="162" t="s">
        <v>182</v>
      </c>
      <c r="AH23" s="162" t="s">
        <v>183</v>
      </c>
      <c r="AI23" s="162" t="s">
        <v>184</v>
      </c>
      <c r="AJ23" s="162" t="s">
        <v>444</v>
      </c>
      <c r="AK23" s="162" t="s">
        <v>187</v>
      </c>
    </row>
    <row r="24" spans="2:37" ht="16.5" x14ac:dyDescent="0.3">
      <c r="B24" s="54">
        <v>49</v>
      </c>
      <c r="C24" s="54">
        <v>46</v>
      </c>
      <c r="E24" s="54">
        <v>45</v>
      </c>
      <c r="H24" s="54" t="b">
        <f ca="1">COUNTIFS(tblRound8[Euro_Match_Number],tblRound4[[#This Row],[KO_Match_Number_1]],tblRound8[Is_Complete],TRUE)&gt;0</f>
        <v>0</v>
      </c>
      <c r="I24" s="54" t="b">
        <f ca="1">COUNTIFS(tblRound8[Euro_Match_Number],tblRound4[[#This Row],[KO_Match_Number_2]],tblRound8[Is_Complete],TRUE)&gt;0</f>
        <v>0</v>
      </c>
      <c r="J24" s="54" t="str">
        <f>"Winner Match "&amp;tblRound4[[#This Row],[KO_Match_Number_1]]</f>
        <v>Winner Match 46</v>
      </c>
      <c r="K24" s="54" t="str">
        <f>"Winner Match "&amp;tblRound4[[#This Row],[KO_Match_Number_2]]</f>
        <v>Winner Match 45</v>
      </c>
      <c r="L24" s="54" t="str">
        <f ca="1">INDEX(tblRound8[],MATCH(tblRound4[[#This Row],[KO_Match_Number_1]],tblRound8[Euro_Match_Number],0),MATCH("Team_Number_Winner",tblRound8[#Headers],0))</f>
        <v/>
      </c>
      <c r="M24" s="54" t="str">
        <f ca="1">INDEX(tblRound8[],MATCH(tblRound4[[#This Row],[KO_Match_Number_2]],tblRound8[Euro_Match_Number],0),MATCH("Team_Number_Winner",tblRound8[#Headers],0))</f>
        <v/>
      </c>
      <c r="N24" s="54">
        <f>INDEX(lkupRoundGame[],MATCH(tblRound4[[#This Row],[Euro_Match_Number]],lkupRoundGame[Euro_Match_Number],0),MATCH("Venue_Number",lkupRoundGame[#Headers],0))</f>
        <v>1</v>
      </c>
      <c r="O24" s="54" t="str">
        <f>INDEX(lkupRoundGame[],MATCH(tblRound4[[#This Row],[Euro_Match_Number]],lkupRoundGame[Euro_Match_Number],0),MATCH("Round_Name",lkupRoundGame[#Headers],0))</f>
        <v>Semi-Final</v>
      </c>
      <c r="P24" s="54">
        <f>INDEX(lkupRoundGame[],MATCH(tblRound4[[#This Row],[Euro_Match_Number]],lkupRoundGame[Euro_Match_Number],0),MATCH("Match_Date",lkupRoundGame[#Headers],0))</f>
        <v>44383</v>
      </c>
      <c r="Q24" s="54">
        <f>INDEX(lkupRoundGame[],MATCH(tblRound4[[#This Row],[Euro_Match_Number]],lkupRoundGame[Euro_Match_Number],0),MATCH("Match_Time_UK",lkupRoundGame[#Headers],0))</f>
        <v>0.83333333333333337</v>
      </c>
      <c r="R24" s="54" t="str">
        <f>""&amp;INDEX(lkupRoundGame[],MATCH(tblRound4[[#This Row],[Euro_Match_Number]],lkupRoundGame[Euro_Match_Number],0),MATCH("TV_Station",lkupRoundGame[#Headers],0))</f>
        <v/>
      </c>
      <c r="S24" s="54" t="b">
        <f>AND(LEN(tblRound4[[#This Row],[Team A Goals]])&gt;0,LEN(tblRound4[[#This Row],[Team B Goals]])&gt;0,tblRound4[[#This Row],[Team A Goals]]&lt;&gt;tblRound4[[#This Row],[Team B Goals]])</f>
        <v>0</v>
      </c>
      <c r="T24" s="54" t="b">
        <f>AND(LEN(tblRound4[[#This Row],[Team A AET]])&gt;0,LEN(tblRound4[[#This Row],[Team B AET]])&gt;0,tblRound4[[#This Row],[Team A AET]]&lt;&gt;tblRound4[[#This Row],[Team B AET]])</f>
        <v>0</v>
      </c>
      <c r="U24" s="54" t="b">
        <f>AND(LEN(tblRound4[[#This Row],[Team A Penalties]])&gt;0,LEN(tblRound4[[#This Row],[Team B Penalties]])&gt;0)</f>
        <v>0</v>
      </c>
      <c r="V24" s="54" t="b">
        <f ca="1">AND(OR(tblRound4[[#This Row],[Is_Result_Goals]:[Is_Result_Penalties]]),tblRound4[[#This Row],[Is_Match_Complete_1]],tblRound4[[#This Row],[Is_Match_Complete_2]])</f>
        <v>0</v>
      </c>
      <c r="W24" s="54" t="str">
        <f>IF(tblRound4[[#This Row],[Is_Result_Goals]],tblRound4[[#This Row],[Team A Goals]],IF(tblRound4[[#This Row],[Is_Result_AET]],tblRound4[[#This Row],[Team A AET]],IF(tblRound4[[#This Row],[Is_Result_Penalties]],tblRound4[[#This Row],[Team A Penalties]],"")))</f>
        <v/>
      </c>
      <c r="X24" s="54" t="str">
        <f>IF(tblRound4[[#This Row],[Is_Result_Goals]],tblRound4[[#This Row],[Team B Goals]],IF(tblRound4[[#This Row],[Is_Result_AET]],tblRound4[[#This Row],[Team B AET]],IF(tblRound4[[#This Row],[Is_Result_Penalties]],tblRound4[[#This Row],[Team B Penalties]],"")))</f>
        <v/>
      </c>
      <c r="Y24" s="54" t="str">
        <f ca="1">IF(tblRound4[[#This Row],[Is_Complete]],IF(tblRound4[[#This Row],[Team_1_Value]]&gt;tblRound4[[#This Row],[Team_2_Value]],tblRound4[[#This Row],[Team_1_Number]],tblRound4[[#This Row],[Team_2_Number]]),"")</f>
        <v/>
      </c>
      <c r="Z24" s="95">
        <f>tblRound4[[#This Row],[Euro_Match_Number]]</f>
        <v>49</v>
      </c>
      <c r="AA24" s="95" t="str">
        <f>tblRound4[[#This Row],[Round_Name]]</f>
        <v>Semi-Final</v>
      </c>
      <c r="AB24" s="95" t="str">
        <f>TEXT(SUM(tblRound4[[#This Row],[Match_Date]],tblRound4[[#This Row],[Match_Time_UK]]),"ddd dd mmm hh:mm")&amp;IF(LEN(tblRound4[[#This Row],[TV_Station]])&gt;0," ("&amp;tblRound4[[#This Row],[TV_Station]]&amp;")","")</f>
        <v>Tue 06 Jul 20:00</v>
      </c>
      <c r="AC24" s="95" t="str">
        <f>INDEX(lkupVenue[],MATCH(tblRound4[[#This Row],[Venue_Number]],lkupVenue[Venue_Number],0),MATCH("Venue_Short",lkupVenue[#Headers],0))</f>
        <v>Wembley Stadium (ENG)</v>
      </c>
      <c r="AD24" s="96" t="str">
        <f ca="1">IF(tblRound4[[#This Row],[Is_Match_Complete_1]],INDEX(lkupTeam[],MATCH(tblRound4[[#This Row],[Team_1_Number]],lkupTeam[Team_Number],0),MATCH("Team",lkupTeam[#Headers],0)),tblRound4[[#This Row],[Team_1_Round_Name]])</f>
        <v>Winner Match 46</v>
      </c>
      <c r="AE24" s="97"/>
      <c r="AF24" s="97"/>
      <c r="AG24" s="97"/>
      <c r="AH24" s="96" t="str">
        <f ca="1">IF(tblRound4[[#This Row],[Is_Match_Complete_2]],INDEX(lkupTeam[],MATCH(tblRound4[[#This Row],[Team_2_Number]],lkupTeam[Team_Number],0),MATCH("Team",lkupTeam[#Headers],0)),tblRound4[[#This Row],[Team_2_Round_Name]])</f>
        <v>Winner Match 45</v>
      </c>
      <c r="AI24" s="97"/>
      <c r="AJ24" s="97"/>
      <c r="AK24" s="97"/>
    </row>
    <row r="25" spans="2:37" ht="16.5" x14ac:dyDescent="0.3">
      <c r="B25" s="54">
        <v>50</v>
      </c>
      <c r="C25" s="54">
        <v>48</v>
      </c>
      <c r="E25" s="54">
        <v>47</v>
      </c>
      <c r="H25" s="54" t="b">
        <f ca="1">COUNTIFS(tblRound8[Euro_Match_Number],tblRound4[[#This Row],[KO_Match_Number_1]],tblRound8[Is_Complete],TRUE)&gt;0</f>
        <v>0</v>
      </c>
      <c r="I25" s="54" t="b">
        <f ca="1">COUNTIFS(tblRound8[Euro_Match_Number],tblRound4[[#This Row],[KO_Match_Number_2]],tblRound8[Is_Complete],TRUE)&gt;0</f>
        <v>0</v>
      </c>
      <c r="J25" s="54" t="str">
        <f>"Winner Match "&amp;tblRound4[[#This Row],[KO_Match_Number_1]]</f>
        <v>Winner Match 48</v>
      </c>
      <c r="K25" s="54" t="str">
        <f>"Winner Match "&amp;tblRound4[[#This Row],[KO_Match_Number_2]]</f>
        <v>Winner Match 47</v>
      </c>
      <c r="L25" s="54" t="str">
        <f ca="1">INDEX(tblRound8[],MATCH(tblRound4[[#This Row],[KO_Match_Number_1]],tblRound8[Euro_Match_Number],0),MATCH("Team_Number_Winner",tblRound8[#Headers],0))</f>
        <v/>
      </c>
      <c r="M25" s="54" t="str">
        <f ca="1">INDEX(tblRound8[],MATCH(tblRound4[[#This Row],[KO_Match_Number_2]],tblRound8[Euro_Match_Number],0),MATCH("Team_Number_Winner",tblRound8[#Headers],0))</f>
        <v/>
      </c>
      <c r="N25" s="54">
        <f>INDEX(lkupRoundGame[],MATCH(tblRound4[[#This Row],[Euro_Match_Number]],lkupRoundGame[Euro_Match_Number],0),MATCH("Venue_Number",lkupRoundGame[#Headers],0))</f>
        <v>1</v>
      </c>
      <c r="O25" s="54" t="str">
        <f>INDEX(lkupRoundGame[],MATCH(tblRound4[[#This Row],[Euro_Match_Number]],lkupRoundGame[Euro_Match_Number],0),MATCH("Round_Name",lkupRoundGame[#Headers],0))</f>
        <v>Semi-Final</v>
      </c>
      <c r="P25" s="54">
        <f>INDEX(lkupRoundGame[],MATCH(tblRound4[[#This Row],[Euro_Match_Number]],lkupRoundGame[Euro_Match_Number],0),MATCH("Match_Date",lkupRoundGame[#Headers],0))</f>
        <v>44384</v>
      </c>
      <c r="Q25" s="54">
        <f>INDEX(lkupRoundGame[],MATCH(tblRound4[[#This Row],[Euro_Match_Number]],lkupRoundGame[Euro_Match_Number],0),MATCH("Match_Time_UK",lkupRoundGame[#Headers],0))</f>
        <v>0.83333333333333337</v>
      </c>
      <c r="R25" s="54" t="str">
        <f>""&amp;INDEX(lkupRoundGame[],MATCH(tblRound4[[#This Row],[Euro_Match_Number]],lkupRoundGame[Euro_Match_Number],0),MATCH("TV_Station",lkupRoundGame[#Headers],0))</f>
        <v/>
      </c>
      <c r="S25" s="54" t="b">
        <f>AND(LEN(tblRound4[[#This Row],[Team A Goals]])&gt;0,LEN(tblRound4[[#This Row],[Team B Goals]])&gt;0,tblRound4[[#This Row],[Team A Goals]]&lt;&gt;tblRound4[[#This Row],[Team B Goals]])</f>
        <v>0</v>
      </c>
      <c r="T25" s="54" t="b">
        <f>AND(LEN(tblRound4[[#This Row],[Team A AET]])&gt;0,LEN(tblRound4[[#This Row],[Team B AET]])&gt;0,tblRound4[[#This Row],[Team A AET]]&lt;&gt;tblRound4[[#This Row],[Team B AET]])</f>
        <v>0</v>
      </c>
      <c r="U25" s="54" t="b">
        <f>AND(LEN(tblRound4[[#This Row],[Team A Penalties]])&gt;0,LEN(tblRound4[[#This Row],[Team B Penalties]])&gt;0)</f>
        <v>0</v>
      </c>
      <c r="V25" s="54" t="b">
        <f ca="1">AND(OR(tblRound4[[#This Row],[Is_Result_Goals]:[Is_Result_Penalties]]),tblRound4[[#This Row],[Is_Match_Complete_1]],tblRound4[[#This Row],[Is_Match_Complete_2]])</f>
        <v>0</v>
      </c>
      <c r="W25" s="54" t="str">
        <f>IF(tblRound4[[#This Row],[Is_Result_Goals]],tblRound4[[#This Row],[Team A Goals]],IF(tblRound4[[#This Row],[Is_Result_AET]],tblRound4[[#This Row],[Team A AET]],IF(tblRound4[[#This Row],[Is_Result_Penalties]],tblRound4[[#This Row],[Team A Penalties]],"")))</f>
        <v/>
      </c>
      <c r="X25" s="54" t="str">
        <f>IF(tblRound4[[#This Row],[Is_Result_Goals]],tblRound4[[#This Row],[Team B Goals]],IF(tblRound4[[#This Row],[Is_Result_AET]],tblRound4[[#This Row],[Team B AET]],IF(tblRound4[[#This Row],[Is_Result_Penalties]],tblRound4[[#This Row],[Team B Penalties]],"")))</f>
        <v/>
      </c>
      <c r="Y25" s="54" t="str">
        <f ca="1">IF(tblRound4[[#This Row],[Is_Complete]],IF(tblRound4[[#This Row],[Team_1_Value]]&gt;tblRound4[[#This Row],[Team_2_Value]],tblRound4[[#This Row],[Team_1_Number]],tblRound4[[#This Row],[Team_2_Number]]),"")</f>
        <v/>
      </c>
      <c r="Z25" s="95">
        <f>tblRound4[[#This Row],[Euro_Match_Number]]</f>
        <v>50</v>
      </c>
      <c r="AA25" s="95" t="str">
        <f>tblRound4[[#This Row],[Round_Name]]</f>
        <v>Semi-Final</v>
      </c>
      <c r="AB25" s="95" t="str">
        <f>TEXT(SUM(tblRound4[[#This Row],[Match_Date]],tblRound4[[#This Row],[Match_Time_UK]]),"ddd dd mmm hh:mm")&amp;IF(LEN(tblRound4[[#This Row],[TV_Station]])&gt;0," ("&amp;tblRound4[[#This Row],[TV_Station]]&amp;")","")</f>
        <v>Wed 07 Jul 20:00</v>
      </c>
      <c r="AC25" s="95" t="str">
        <f>INDEX(lkupVenue[],MATCH(tblRound4[[#This Row],[Venue_Number]],lkupVenue[Venue_Number],0),MATCH("Venue_Short",lkupVenue[#Headers],0))</f>
        <v>Wembley Stadium (ENG)</v>
      </c>
      <c r="AD25" s="96" t="str">
        <f ca="1">IF(tblRound4[[#This Row],[Is_Match_Complete_1]],INDEX(lkupTeam[],MATCH(tblRound4[[#This Row],[Team_1_Number]],lkupTeam[Team_Number],0),MATCH("Team",lkupTeam[#Headers],0)),tblRound4[[#This Row],[Team_1_Round_Name]])</f>
        <v>Winner Match 48</v>
      </c>
      <c r="AE25" s="97"/>
      <c r="AF25" s="97"/>
      <c r="AG25" s="97"/>
      <c r="AH25" s="96" t="str">
        <f ca="1">IF(tblRound4[[#This Row],[Is_Match_Complete_2]],INDEX(lkupTeam[],MATCH(tblRound4[[#This Row],[Team_2_Number]],lkupTeam[Team_Number],0),MATCH("Team",lkupTeam[#Headers],0)),tblRound4[[#This Row],[Team_2_Round_Name]])</f>
        <v>Winner Match 47</v>
      </c>
      <c r="AI25" s="97"/>
      <c r="AJ25" s="97"/>
      <c r="AK25" s="97"/>
    </row>
    <row r="26" spans="2:37" ht="7.5" customHeight="1" x14ac:dyDescent="0.25"/>
    <row r="27" spans="2:37" ht="7.5" customHeight="1" x14ac:dyDescent="0.25"/>
    <row r="28" spans="2:37" s="161" customFormat="1" ht="30.75" x14ac:dyDescent="0.3">
      <c r="B28" s="161" t="s">
        <v>41</v>
      </c>
      <c r="C28" s="161" t="s">
        <v>451</v>
      </c>
      <c r="D28" s="161" t="s">
        <v>454</v>
      </c>
      <c r="E28" s="161" t="s">
        <v>452</v>
      </c>
      <c r="F28" s="161" t="s">
        <v>453</v>
      </c>
      <c r="G28" s="161" t="s">
        <v>492</v>
      </c>
      <c r="H28" s="161" t="s">
        <v>498</v>
      </c>
      <c r="I28" s="161" t="s">
        <v>499</v>
      </c>
      <c r="J28" s="161" t="s">
        <v>500</v>
      </c>
      <c r="K28" s="161" t="s">
        <v>501</v>
      </c>
      <c r="L28" s="161" t="s">
        <v>436</v>
      </c>
      <c r="M28" s="161" t="s">
        <v>437</v>
      </c>
      <c r="N28" s="161" t="s">
        <v>149</v>
      </c>
      <c r="O28" s="161" t="s">
        <v>455</v>
      </c>
      <c r="P28" s="161" t="s">
        <v>146</v>
      </c>
      <c r="Q28" s="161" t="s">
        <v>147</v>
      </c>
      <c r="R28" s="161" t="s">
        <v>441</v>
      </c>
      <c r="S28" s="161" t="s">
        <v>445</v>
      </c>
      <c r="T28" s="161" t="s">
        <v>446</v>
      </c>
      <c r="U28" s="161" t="s">
        <v>447</v>
      </c>
      <c r="V28" s="161" t="s">
        <v>192</v>
      </c>
      <c r="W28" s="161" t="s">
        <v>449</v>
      </c>
      <c r="X28" s="161" t="s">
        <v>450</v>
      </c>
      <c r="Y28" s="161" t="s">
        <v>448</v>
      </c>
      <c r="Z28" s="162" t="s">
        <v>148</v>
      </c>
      <c r="AA28" s="162" t="s">
        <v>462</v>
      </c>
      <c r="AB28" s="162" t="s">
        <v>189</v>
      </c>
      <c r="AC28" s="162" t="s">
        <v>177</v>
      </c>
      <c r="AD28" s="162" t="s">
        <v>178</v>
      </c>
      <c r="AE28" s="162" t="s">
        <v>179</v>
      </c>
      <c r="AF28" s="162" t="s">
        <v>443</v>
      </c>
      <c r="AG28" s="162" t="s">
        <v>182</v>
      </c>
      <c r="AH28" s="162" t="s">
        <v>183</v>
      </c>
      <c r="AI28" s="162" t="s">
        <v>184</v>
      </c>
      <c r="AJ28" s="162" t="s">
        <v>444</v>
      </c>
      <c r="AK28" s="162" t="s">
        <v>187</v>
      </c>
    </row>
    <row r="29" spans="2:37" ht="16.5" x14ac:dyDescent="0.3">
      <c r="B29" s="54">
        <v>51</v>
      </c>
      <c r="C29" s="54">
        <v>49</v>
      </c>
      <c r="E29" s="54">
        <v>50</v>
      </c>
      <c r="H29" s="54" t="b">
        <f ca="1">COUNTIFS(tblRound4[Euro_Match_Number],tblRound2[[#This Row],[KO_Match_Number_1]],tblRound4[Is_Complete],TRUE)&gt;0</f>
        <v>0</v>
      </c>
      <c r="I29" s="54" t="b">
        <f ca="1">COUNTIFS(tblRound4[Euro_Match_Number],tblRound2[[#This Row],[KO_Match_Number_2]],tblRound4[Is_Complete],TRUE)&gt;0</f>
        <v>0</v>
      </c>
      <c r="J29" s="54" t="str">
        <f>"Winner Match "&amp;tblRound2[[#This Row],[KO_Match_Number_1]]</f>
        <v>Winner Match 49</v>
      </c>
      <c r="K29" s="54" t="str">
        <f>"Winner Match "&amp;tblRound2[[#This Row],[KO_Match_Number_2]]</f>
        <v>Winner Match 50</v>
      </c>
      <c r="L29" s="54" t="str">
        <f ca="1">INDEX(tblRound4[],MATCH(tblRound2[[#This Row],[KO_Match_Number_1]],tblRound4[Euro_Match_Number],0),MATCH("Team_Number_Winner",tblRound4[#Headers],0))</f>
        <v/>
      </c>
      <c r="M29" s="54" t="str">
        <f ca="1">INDEX(tblRound4[],MATCH(tblRound2[[#This Row],[KO_Match_Number_2]],tblRound4[Euro_Match_Number],0),MATCH("Team_Number_Winner",tblRound4[#Headers],0))</f>
        <v/>
      </c>
      <c r="N29" s="54">
        <f>INDEX(lkupRoundGame[],MATCH(tblRound2[[#This Row],[Euro_Match_Number]],lkupRoundGame[Euro_Match_Number],0),MATCH("Venue_Number",lkupRoundGame[#Headers],0))</f>
        <v>1</v>
      </c>
      <c r="O29" s="54" t="str">
        <f>INDEX(lkupRoundGame[],MATCH(tblRound2[[#This Row],[Euro_Match_Number]],lkupRoundGame[Euro_Match_Number],0),MATCH("Round_Name",lkupRoundGame[#Headers],0))</f>
        <v>Final</v>
      </c>
      <c r="P29" s="54">
        <f>INDEX(lkupRoundGame[],MATCH(tblRound2[[#This Row],[Euro_Match_Number]],lkupRoundGame[Euro_Match_Number],0),MATCH("Match_Date",lkupRoundGame[#Headers],0))</f>
        <v>44388</v>
      </c>
      <c r="Q29" s="54">
        <f>INDEX(lkupRoundGame[],MATCH(tblRound2[[#This Row],[Euro_Match_Number]],lkupRoundGame[Euro_Match_Number],0),MATCH("Match_Time_UK",lkupRoundGame[#Headers],0))</f>
        <v>0.83333333333333337</v>
      </c>
      <c r="R29" s="54" t="str">
        <f>""&amp;INDEX(lkupRoundGame[],MATCH(tblRound2[[#This Row],[Euro_Match_Number]],lkupRoundGame[Euro_Match_Number],0),MATCH("TV_Station",lkupRoundGame[#Headers],0))</f>
        <v>BBC / iTV</v>
      </c>
      <c r="S29" s="54" t="b">
        <f>AND(LEN(tblRound2[[#This Row],[Team A Goals]])&gt;0,LEN(tblRound2[[#This Row],[Team B Goals]])&gt;0,tblRound2[[#This Row],[Team A Goals]]&lt;&gt;tblRound2[[#This Row],[Team B Goals]])</f>
        <v>0</v>
      </c>
      <c r="T29" s="54" t="b">
        <f>AND(LEN(tblRound2[[#This Row],[Team A AET]])&gt;0,LEN(tblRound2[[#This Row],[Team B AET]])&gt;0,tblRound2[[#This Row],[Team A AET]]&lt;&gt;tblRound2[[#This Row],[Team B AET]])</f>
        <v>0</v>
      </c>
      <c r="U29" s="54" t="b">
        <f>AND(LEN(tblRound2[[#This Row],[Team A Penalties]])&gt;0,LEN(tblRound2[[#This Row],[Team B Penalties]])&gt;0)</f>
        <v>0</v>
      </c>
      <c r="V29" s="54" t="b">
        <f ca="1">AND(OR(tblRound2[[#This Row],[Is_Result_Goals]:[Is_Result_Penalties]]),tblRound2[[#This Row],[Is_Match_Complete_1]],tblRound2[[#This Row],[Is_Match_Complete_2]])</f>
        <v>0</v>
      </c>
      <c r="W29" s="54" t="str">
        <f>IF(tblRound2[[#This Row],[Is_Result_Goals]],tblRound2[[#This Row],[Team A Goals]],IF(tblRound2[[#This Row],[Is_Result_AET]],tblRound2[[#This Row],[Team A AET]],IF(tblRound2[[#This Row],[Is_Result_Penalties]],tblRound2[[#This Row],[Team A Penalties]],"")))</f>
        <v/>
      </c>
      <c r="X29" s="54" t="str">
        <f>IF(tblRound2[[#This Row],[Is_Result_Goals]],tblRound2[[#This Row],[Team B Goals]],IF(tblRound2[[#This Row],[Is_Result_AET]],tblRound2[[#This Row],[Team B AET]],IF(tblRound2[[#This Row],[Is_Result_Penalties]],tblRound2[[#This Row],[Team B Penalties]],"")))</f>
        <v/>
      </c>
      <c r="Y29" s="54" t="str">
        <f ca="1">IF(tblRound2[[#This Row],[Is_Complete]],IF(tblRound2[[#This Row],[Team_1_Value]]&gt;tblRound2[[#This Row],[Team_2_Value]],tblRound2[[#This Row],[Team_1_Number]],tblRound2[[#This Row],[Team_2_Number]]),"")</f>
        <v/>
      </c>
      <c r="Z29" s="95">
        <f>tblRound2[[#This Row],[Euro_Match_Number]]</f>
        <v>51</v>
      </c>
      <c r="AA29" s="95" t="str">
        <f>tblRound2[[#This Row],[Round_Name]]</f>
        <v>Final</v>
      </c>
      <c r="AB29" s="95" t="str">
        <f>TEXT(SUM(tblRound2[[#This Row],[Match_Date]],tblRound2[[#This Row],[Match_Time_UK]]),"ddd dd mmm hh:mm")&amp;IF(LEN(tblRound2[[#This Row],[TV_Station]])&gt;0," ("&amp;tblRound2[[#This Row],[TV_Station]]&amp;")","")</f>
        <v>Sun 11 Jul 20:00 (BBC / iTV)</v>
      </c>
      <c r="AC29" s="95" t="str">
        <f>INDEX(lkupVenue[],MATCH(tblRound2[[#This Row],[Venue_Number]],lkupVenue[Venue_Number],0),MATCH("Venue_Short",lkupVenue[#Headers],0))</f>
        <v>Wembley Stadium (ENG)</v>
      </c>
      <c r="AD29" s="96" t="str">
        <f ca="1">IF(tblRound2[[#This Row],[Is_Match_Complete_1]],INDEX(lkupTeam[],MATCH(tblRound2[[#This Row],[Team_1_Number]],lkupTeam[Team_Number],0),MATCH("Team",lkupTeam[#Headers],0)),tblRound2[[#This Row],[Team_1_Round_Name]])</f>
        <v>Winner Match 49</v>
      </c>
      <c r="AE29" s="97"/>
      <c r="AF29" s="97"/>
      <c r="AG29" s="97"/>
      <c r="AH29" s="96" t="str">
        <f ca="1">IF(tblRound2[[#This Row],[Is_Match_Complete_2]],INDEX(lkupTeam[],MATCH(tblRound2[[#This Row],[Team_2_Number]],lkupTeam[Team_Number],0),MATCH("Team",lkupTeam[#Headers],0)),tblRound2[[#This Row],[Team_2_Round_Name]])</f>
        <v>Winner Match 50</v>
      </c>
      <c r="AI29" s="97"/>
      <c r="AJ29" s="97"/>
      <c r="AK29" s="97"/>
    </row>
  </sheetData>
  <sheetProtection algorithmName="SHA-512" hashValue="dFOFHf09fR7kGZlWmBhNTZHhVkwBqoT8iYyouqpUplQL2b3Ug02F/kPlzFOv9qIB+MI4cQbn9KVa+vH4P9ETOg==" saltValue="Hh1gTwbDCr1AIhZC7CrkhQ==" spinCount="100000" sheet="1" objects="1" scenarios="1" selectLockedCells="1"/>
  <phoneticPr fontId="2" type="noConversion"/>
  <conditionalFormatting sqref="AE6:AE13 AE17:AE20 AE24:AE25 AE29">
    <cfRule type="expression" dxfId="46" priority="6">
      <formula>AND(H6,I6)</formula>
    </cfRule>
  </conditionalFormatting>
  <conditionalFormatting sqref="AI6:AI13 AI17:AI20 AI24:AI25 AI29">
    <cfRule type="expression" dxfId="45" priority="5">
      <formula>AND(H6,I6)</formula>
    </cfRule>
  </conditionalFormatting>
  <conditionalFormatting sqref="AF6:AF13 AF17:AF20 AF24:AF25 AF29 AJ6:AJ13 AJ17:AJ20 AJ24:AJ25 AJ29">
    <cfRule type="expression" dxfId="44" priority="4">
      <formula>AND($H6,$I6,LEN($AE6)&gt;0,LEN($AI6)&gt;0,NOT($S6))</formula>
    </cfRule>
  </conditionalFormatting>
  <conditionalFormatting sqref="AG6:AG13 AG17:AG20 AG24:AG25 AG29 AK6:AK13 AK17:AK20 AK24:AK25 AK29">
    <cfRule type="expression" dxfId="43" priority="3">
      <formula>AND($H6,$I6,LEN($AE6)&gt;0,LEN($AI6)&gt;0,LEN($AF6)&gt;0,LEN($AJ6)&gt;0,NOT($S6),NOT($T6))</formula>
    </cfRule>
  </conditionalFormatting>
  <conditionalFormatting sqref="AE6:AF13 AE17:AF20 AE24:AF25 AE29:AF29 AI6:AJ13 AI17:AJ20 AI24:AJ25 AI29:AJ29">
    <cfRule type="expression" dxfId="42" priority="2">
      <formula>LEN(AE6)&gt;0</formula>
    </cfRule>
  </conditionalFormatting>
  <conditionalFormatting sqref="AE6:AG13 AI6:AK13 AE17:AG20 AI17:AK20 AE24:AG25 AI24:AK25 AE29:AG29 AI29:AK29">
    <cfRule type="expression" dxfId="41" priority="1">
      <formula>$V6</formula>
    </cfRule>
  </conditionalFormatting>
  <dataValidations count="1">
    <dataValidation type="whole" allowBlank="1" showErrorMessage="1" errorTitle="Incorrect Value" error="This cell will only accept whole numbers between 0 and 50." sqref="AE6:AG13 AI6:AK13 AE17:AG20 AI17:AK20 AE24:AG25 AI24:AK25 AE29:AG29 AI29:AK29" xr:uid="{6D81E6C7-6F3B-4B92-9106-BBA66C132BAC}">
      <formula1>0</formula1>
      <formula2>50</formula2>
    </dataValidation>
  </dataValidations>
  <hyperlinks>
    <hyperlink ref="AK2" location="'Index &amp; Summary'!A1" display="Index" xr:uid="{35FE6C9E-76FB-485C-AA13-52364749342C}"/>
  </hyperlinks>
  <pageMargins left="0.7" right="0.7" top="0.75" bottom="0.75" header="0.3" footer="0.3"/>
  <drawing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AFC5-70BD-402E-BB37-7D6D7B671AC9}">
  <dimension ref="A1:CW115"/>
  <sheetViews>
    <sheetView showGridLines="0" showRowColHeaders="0" topLeftCell="AR1" zoomScale="85" zoomScaleNormal="85" workbookViewId="0">
      <pane xSplit="35" ySplit="41" topLeftCell="CA42" activePane="bottomRight" state="frozenSplit"/>
      <selection activeCell="AR1" sqref="AR1"/>
      <selection pane="topRight" activeCell="CA1" sqref="CA1"/>
      <selection pane="bottomLeft" activeCell="AR42" sqref="AR42"/>
      <selection pane="bottomRight" activeCell="BN2" sqref="BN2"/>
    </sheetView>
  </sheetViews>
  <sheetFormatPr defaultRowHeight="16.5" x14ac:dyDescent="0.3"/>
  <cols>
    <col min="1" max="1" width="9.140625" style="17" hidden="1" customWidth="1"/>
    <col min="2" max="2" width="21.42578125" style="27" hidden="1" customWidth="1"/>
    <col min="3" max="4" width="18.85546875" style="27" hidden="1" customWidth="1"/>
    <col min="5" max="5" width="16.42578125" style="27" hidden="1" customWidth="1"/>
    <col min="6" max="6" width="17.42578125" style="27" hidden="1" customWidth="1"/>
    <col min="7" max="7" width="15.7109375" style="27" hidden="1" customWidth="1"/>
    <col min="8" max="8" width="16.140625" style="27" hidden="1" customWidth="1"/>
    <col min="9" max="9" width="15" style="27" hidden="1" customWidth="1"/>
    <col min="10" max="10" width="14.28515625" style="27" hidden="1" customWidth="1"/>
    <col min="11" max="11" width="18.140625" style="27" hidden="1" customWidth="1"/>
    <col min="12" max="12" width="26.42578125" style="27" hidden="1" customWidth="1"/>
    <col min="13" max="13" width="17" style="27" hidden="1" customWidth="1"/>
    <col min="14" max="14" width="30.28515625" style="27" hidden="1" customWidth="1"/>
    <col min="15" max="15" width="27.42578125" style="27" hidden="1" customWidth="1"/>
    <col min="16" max="16" width="28.42578125" style="27" hidden="1" customWidth="1"/>
    <col min="17" max="17" width="28.7109375" style="27" hidden="1" customWidth="1"/>
    <col min="18" max="18" width="30.85546875" style="27" hidden="1" customWidth="1"/>
    <col min="19" max="19" width="29" style="27" hidden="1" customWidth="1"/>
    <col min="20" max="20" width="21.85546875" style="27" hidden="1" customWidth="1"/>
    <col min="21" max="21" width="24" style="27" hidden="1" customWidth="1"/>
    <col min="22" max="22" width="26.85546875" style="27" hidden="1" customWidth="1"/>
    <col min="23" max="23" width="17.85546875" style="27" hidden="1" customWidth="1"/>
    <col min="24" max="24" width="15.7109375" style="27" hidden="1" customWidth="1"/>
    <col min="25" max="25" width="17.140625" style="27" hidden="1" customWidth="1"/>
    <col min="26" max="26" width="16.7109375" style="27" hidden="1" customWidth="1"/>
    <col min="27" max="27" width="19" style="27" hidden="1" customWidth="1"/>
    <col min="28" max="28" width="22.7109375" style="27" hidden="1" customWidth="1"/>
    <col min="29" max="29" width="20.140625" style="27" hidden="1" customWidth="1"/>
    <col min="30" max="31" width="25.85546875" style="18" hidden="1" customWidth="1"/>
    <col min="32" max="33" width="9.140625" style="17" hidden="1" customWidth="1"/>
    <col min="34" max="34" width="13.42578125" style="28" hidden="1" customWidth="1"/>
    <col min="35" max="35" width="14.42578125" style="28" hidden="1" customWidth="1"/>
    <col min="36" max="36" width="15.7109375" style="28" hidden="1" customWidth="1"/>
    <col min="37" max="37" width="15.42578125" style="28" hidden="1" customWidth="1"/>
    <col min="38" max="38" width="18.7109375" style="28" hidden="1" customWidth="1"/>
    <col min="39" max="39" width="18.5703125" style="28" hidden="1" customWidth="1"/>
    <col min="40" max="40" width="15.42578125" style="28" hidden="1" customWidth="1"/>
    <col min="41" max="41" width="15.7109375" style="28" hidden="1" customWidth="1"/>
    <col min="42" max="42" width="34.5703125" style="28" hidden="1" customWidth="1"/>
    <col min="43" max="43" width="13" style="28" hidden="1" customWidth="1"/>
    <col min="44" max="44" width="2.85546875" style="45" customWidth="1"/>
    <col min="45" max="45" width="2.140625" style="17" customWidth="1"/>
    <col min="46" max="46" width="6.7109375" style="19" customWidth="1"/>
    <col min="47" max="47" width="21.5703125" style="19" customWidth="1"/>
    <col min="48" max="55" width="4.28515625" style="20" customWidth="1"/>
    <col min="56" max="56" width="25.42578125" style="26" customWidth="1"/>
    <col min="57" max="57" width="2.140625" style="47" customWidth="1"/>
    <col min="58" max="58" width="3.85546875" style="47" customWidth="1"/>
    <col min="59" max="59" width="2.140625" style="47" customWidth="1"/>
    <col min="60" max="60" width="22.85546875" style="21" customWidth="1"/>
    <col min="61" max="61" width="19.7109375" style="19" customWidth="1"/>
    <col min="62" max="62" width="7.140625" style="20" customWidth="1"/>
    <col min="63" max="63" width="2.42578125" style="26" bestFit="1" customWidth="1"/>
    <col min="64" max="64" width="7.140625" style="20" customWidth="1"/>
    <col min="65" max="65" width="19.7109375" style="22" customWidth="1"/>
    <col min="66" max="66" width="22.85546875" style="23" customWidth="1"/>
    <col min="67" max="67" width="2.140625" style="17" customWidth="1"/>
    <col min="68" max="101" width="9.140625" style="45"/>
    <col min="102" max="16384" width="9.140625" style="17"/>
  </cols>
  <sheetData>
    <row r="1" spans="2:67" ht="15" customHeight="1" x14ac:dyDescent="0.3">
      <c r="AS1" s="45"/>
      <c r="AT1" s="48"/>
      <c r="AU1" s="48"/>
      <c r="AV1" s="48"/>
      <c r="AW1" s="48"/>
      <c r="AX1" s="48"/>
      <c r="AY1" s="48"/>
      <c r="AZ1" s="48"/>
      <c r="BA1" s="48"/>
      <c r="BB1" s="48"/>
      <c r="BC1" s="48"/>
      <c r="BD1" s="49"/>
      <c r="BH1" s="50"/>
      <c r="BI1" s="47"/>
      <c r="BJ1" s="48"/>
      <c r="BK1" s="49"/>
      <c r="BL1" s="48"/>
      <c r="BM1" s="51"/>
      <c r="BN1" s="52"/>
      <c r="BO1" s="45"/>
    </row>
    <row r="2" spans="2:67" ht="15" customHeight="1" x14ac:dyDescent="0.3">
      <c r="AS2" s="45"/>
      <c r="AT2" s="48"/>
      <c r="AU2" s="48"/>
      <c r="AV2" s="48"/>
      <c r="AW2" s="48"/>
      <c r="AX2" s="48"/>
      <c r="AY2" s="48"/>
      <c r="AZ2" s="48"/>
      <c r="BA2" s="48"/>
      <c r="BB2" s="48"/>
      <c r="BC2" s="48"/>
      <c r="BD2" s="49"/>
      <c r="BH2" s="50"/>
      <c r="BI2" s="47"/>
      <c r="BJ2" s="48"/>
      <c r="BK2" s="49"/>
      <c r="BL2" s="48"/>
      <c r="BM2" s="51"/>
      <c r="BN2" s="104" t="s">
        <v>504</v>
      </c>
      <c r="BO2" s="45"/>
    </row>
    <row r="3" spans="2:67" ht="15" customHeight="1" x14ac:dyDescent="0.3">
      <c r="AS3" s="45"/>
      <c r="AT3" s="48"/>
      <c r="AU3" s="48"/>
      <c r="AV3" s="48"/>
      <c r="AW3" s="48"/>
      <c r="AX3" s="48"/>
      <c r="AY3" s="48"/>
      <c r="AZ3" s="48"/>
      <c r="BA3" s="48"/>
      <c r="BB3" s="48"/>
      <c r="BC3" s="48"/>
      <c r="BD3" s="49"/>
      <c r="BH3" s="50"/>
      <c r="BI3" s="47"/>
      <c r="BJ3" s="48"/>
      <c r="BK3" s="49"/>
      <c r="BL3" s="48"/>
      <c r="BM3" s="51"/>
      <c r="BN3" s="52"/>
      <c r="BO3" s="45"/>
    </row>
    <row r="4" spans="2:67" s="45" customFormat="1" x14ac:dyDescent="0.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4"/>
      <c r="AE4" s="44"/>
      <c r="AH4" s="46"/>
      <c r="AI4" s="46"/>
      <c r="AJ4" s="46"/>
      <c r="AK4" s="46"/>
      <c r="AL4" s="46"/>
      <c r="AM4" s="46"/>
      <c r="AN4" s="46"/>
      <c r="AO4" s="46"/>
      <c r="AP4" s="46"/>
      <c r="AQ4" s="46"/>
      <c r="AT4" s="47"/>
      <c r="AU4" s="47"/>
      <c r="AV4" s="48"/>
      <c r="AW4" s="48"/>
      <c r="AX4" s="48"/>
      <c r="AY4" s="48"/>
      <c r="AZ4" s="48"/>
      <c r="BA4" s="48"/>
      <c r="BB4" s="48"/>
      <c r="BC4" s="48"/>
      <c r="BD4" s="49"/>
      <c r="BE4" s="47"/>
      <c r="BF4" s="47"/>
      <c r="BG4" s="47"/>
      <c r="BH4" s="50"/>
      <c r="BI4" s="47"/>
      <c r="BJ4" s="48"/>
      <c r="BK4" s="49"/>
      <c r="BL4" s="48"/>
      <c r="BM4" s="51"/>
      <c r="BN4" s="52"/>
    </row>
    <row r="5" spans="2:67" s="45" customFormat="1" x14ac:dyDescent="0.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4"/>
      <c r="AE5" s="44"/>
      <c r="AH5" s="46"/>
      <c r="AI5" s="46"/>
      <c r="AJ5" s="46"/>
      <c r="AK5" s="46"/>
      <c r="AL5" s="46"/>
      <c r="AM5" s="46"/>
      <c r="AN5" s="46"/>
      <c r="AO5" s="46"/>
      <c r="AP5" s="46"/>
      <c r="AQ5" s="46"/>
      <c r="AT5" s="47"/>
      <c r="AU5" s="47"/>
      <c r="AV5" s="48"/>
      <c r="AW5" s="48"/>
      <c r="AX5" s="48"/>
      <c r="AY5" s="48"/>
      <c r="AZ5" s="48"/>
      <c r="BA5" s="48"/>
      <c r="BB5" s="48"/>
      <c r="BC5" s="48"/>
      <c r="BD5" s="49"/>
      <c r="BE5" s="47"/>
      <c r="BF5" s="47"/>
      <c r="BG5" s="47"/>
      <c r="BH5" s="50"/>
      <c r="BI5" s="47"/>
      <c r="BJ5" s="48"/>
      <c r="BK5" s="49"/>
      <c r="BL5" s="48"/>
      <c r="BM5" s="51"/>
      <c r="BN5" s="52"/>
    </row>
    <row r="6" spans="2:67" x14ac:dyDescent="0.3">
      <c r="AS6" s="42"/>
      <c r="AT6" s="36"/>
      <c r="AU6" s="36"/>
      <c r="AV6" s="37"/>
      <c r="AW6" s="37"/>
      <c r="AX6" s="37"/>
      <c r="AY6" s="37"/>
      <c r="AZ6" s="37"/>
      <c r="BA6" s="37"/>
      <c r="BB6" s="37"/>
      <c r="BC6" s="37"/>
      <c r="BD6" s="38"/>
      <c r="BE6" s="36"/>
      <c r="BG6" s="36"/>
      <c r="BH6" s="39"/>
      <c r="BI6" s="36"/>
      <c r="BJ6" s="37"/>
      <c r="BK6" s="38"/>
      <c r="BL6" s="37"/>
      <c r="BM6" s="40"/>
      <c r="BN6" s="41"/>
      <c r="BO6" s="42"/>
    </row>
    <row r="7" spans="2:67" ht="17.25" x14ac:dyDescent="0.3">
      <c r="B7" s="27" t="s">
        <v>308</v>
      </c>
      <c r="C7" s="27" t="s">
        <v>39</v>
      </c>
      <c r="D7" s="27" t="s">
        <v>318</v>
      </c>
      <c r="E7" s="27" t="s">
        <v>319</v>
      </c>
      <c r="F7" s="27" t="s">
        <v>320</v>
      </c>
      <c r="G7" s="27" t="s">
        <v>321</v>
      </c>
      <c r="H7" s="27" t="s">
        <v>322</v>
      </c>
      <c r="I7" s="27" t="s">
        <v>323</v>
      </c>
      <c r="J7" s="27" t="s">
        <v>324</v>
      </c>
      <c r="K7" s="27" t="s">
        <v>325</v>
      </c>
      <c r="L7" s="27" t="s">
        <v>326</v>
      </c>
      <c r="M7" s="27" t="s">
        <v>327</v>
      </c>
      <c r="N7" s="27" t="s">
        <v>328</v>
      </c>
      <c r="O7" s="27" t="s">
        <v>218</v>
      </c>
      <c r="P7" s="27" t="s">
        <v>306</v>
      </c>
      <c r="Q7" s="27" t="s">
        <v>358</v>
      </c>
      <c r="R7" s="27" t="s">
        <v>357</v>
      </c>
      <c r="S7" s="27" t="s">
        <v>359</v>
      </c>
      <c r="T7" s="27" t="s">
        <v>362</v>
      </c>
      <c r="U7" s="27" t="s">
        <v>361</v>
      </c>
      <c r="V7" s="27" t="s">
        <v>360</v>
      </c>
      <c r="W7" s="27" t="s">
        <v>363</v>
      </c>
      <c r="X7" s="27" t="s">
        <v>364</v>
      </c>
      <c r="Y7" s="27" t="s">
        <v>365</v>
      </c>
      <c r="Z7" s="27" t="s">
        <v>366</v>
      </c>
      <c r="AA7" s="27" t="s">
        <v>367</v>
      </c>
      <c r="AB7" s="27" t="s">
        <v>368</v>
      </c>
      <c r="AC7" s="27" t="s">
        <v>369</v>
      </c>
      <c r="AD7" s="27" t="s">
        <v>370</v>
      </c>
      <c r="AE7" s="27" t="s">
        <v>427</v>
      </c>
      <c r="AH7" s="28" t="s">
        <v>250</v>
      </c>
      <c r="AI7" s="28" t="s">
        <v>189</v>
      </c>
      <c r="AJ7" s="28" t="s">
        <v>178</v>
      </c>
      <c r="AK7" s="28" t="s">
        <v>179</v>
      </c>
      <c r="AL7" s="28" t="s">
        <v>182</v>
      </c>
      <c r="AM7" s="28" t="s">
        <v>187</v>
      </c>
      <c r="AN7" s="28" t="s">
        <v>184</v>
      </c>
      <c r="AO7" s="28" t="s">
        <v>183</v>
      </c>
      <c r="AP7" s="28" t="s">
        <v>177</v>
      </c>
      <c r="AQ7" s="28" t="s">
        <v>336</v>
      </c>
      <c r="AS7" s="42"/>
      <c r="AT7" s="157" t="s">
        <v>338</v>
      </c>
      <c r="AU7" s="158" t="s">
        <v>24</v>
      </c>
      <c r="AV7" s="157" t="s">
        <v>54</v>
      </c>
      <c r="AW7" s="157" t="s">
        <v>55</v>
      </c>
      <c r="AX7" s="157" t="s">
        <v>34</v>
      </c>
      <c r="AY7" s="157" t="s">
        <v>29</v>
      </c>
      <c r="AZ7" s="157" t="s">
        <v>56</v>
      </c>
      <c r="BA7" s="157" t="s">
        <v>57</v>
      </c>
      <c r="BB7" s="157" t="s">
        <v>329</v>
      </c>
      <c r="BC7" s="157" t="s">
        <v>59</v>
      </c>
      <c r="BD7" s="157" t="s">
        <v>524</v>
      </c>
      <c r="BE7" s="36"/>
      <c r="BG7" s="36"/>
      <c r="BH7" s="89" t="str">
        <f t="array" ref="BH7:BJ12">AI8:AK13</f>
        <v>Fri 11 Jun 20:00 (BBC)</v>
      </c>
      <c r="BI7" s="68" t="str">
        <v>Turkey</v>
      </c>
      <c r="BJ7" s="69" t="str">
        <v/>
      </c>
      <c r="BK7" s="70" t="str">
        <f t="array" ref="BK7:BK12">AQ8:AQ13</f>
        <v xml:space="preserve"> - </v>
      </c>
      <c r="BL7" s="69" t="str">
        <f t="array" ref="BL7:BN12">AN8:AP13</f>
        <v/>
      </c>
      <c r="BM7" s="71" t="str">
        <v>Italy</v>
      </c>
      <c r="BN7" s="72" t="str">
        <v>Stadio Olimpico (ITA)</v>
      </c>
      <c r="BO7" s="42"/>
    </row>
    <row r="8" spans="2:67" ht="17.25" x14ac:dyDescent="0.3">
      <c r="B8" s="27" t="s">
        <v>196</v>
      </c>
      <c r="C8" s="27">
        <f ca="1">INDEX(tblGroupTotals[],MATCH(tblGroupA[[#This Row],[Table_Rank_Code]],tblGroupTotals[Table_Rank_Code],0),MATCH("Team_Number",tblGroupTotals[#Headers],0))</f>
        <v>2</v>
      </c>
      <c r="D8" s="27">
        <v>1</v>
      </c>
      <c r="E8" s="27" t="str">
        <f ca="1">INDEX(lkupTeam[],MATCH(tblGroupA[[#This Row],[Team_Number]],lkupTeam[Team_Number],0),MATCH("Team",lkupTeam[#Headers],0))</f>
        <v>Italy</v>
      </c>
      <c r="F8" s="27">
        <f ca="1">INDEX(tblGroupTotals[],MATCH(tblGroupA[[#This Row],[Table_Rank_Code]],tblGroupTotals[Table_Rank_Code],0),MATCH("Total_Games",tblGroupTotals[#Headers],0))</f>
        <v>0</v>
      </c>
      <c r="G8" s="27">
        <f ca="1">INDEX(tblGroupTotals[],MATCH(tblGroupA[[#This Row],[Table_Rank_Code]],tblGroupTotals[Table_Rank_Code],0),MATCH("Total_Wins",tblGroupTotals[#Headers],0))</f>
        <v>0</v>
      </c>
      <c r="H8" s="27">
        <f ca="1">INDEX(tblGroupTotals[],MATCH(tblGroupA[[#This Row],[Table_Rank_Code]],tblGroupTotals[Table_Rank_Code],0),MATCH("Total_Draws",tblGroupTotals[#Headers],0))</f>
        <v>0</v>
      </c>
      <c r="I8" s="27">
        <f ca="1">INDEX(tblGroupTotals[],MATCH(tblGroupA[[#This Row],[Table_Rank_Code]],tblGroupTotals[Table_Rank_Code],0),MATCH("Total_Loses",tblGroupTotals[#Headers],0))</f>
        <v>0</v>
      </c>
      <c r="J8" s="27">
        <f ca="1">INDEX(tblGroupTotals[],MATCH(tblGroupA[[#This Row],[Table_Rank_Code]],tblGroupTotals[Table_Rank_Code],0),MATCH("Total_Goals_For",tblGroupTotals[#Headers],0))</f>
        <v>0</v>
      </c>
      <c r="K8" s="27">
        <f ca="1">INDEX(tblGroupTotals[],MATCH(tblGroupA[[#This Row],[Table_Rank_Code]],tblGroupTotals[Table_Rank_Code],0),MATCH("Total_Goals_Against",tblGroupTotals[#Headers],0))</f>
        <v>0</v>
      </c>
      <c r="L8" s="27">
        <f ca="1">INDEX(tblGroupTotals[],MATCH(tblGroupA[[#This Row],[Table_Rank_Code]],tblGroupTotals[Table_Rank_Code],0),MATCH("Goal_Difference",tblGroupTotals[#Headers],0))</f>
        <v>0</v>
      </c>
      <c r="M8" s="27">
        <f ca="1">INDEX(tblGroupTotals[],MATCH(tblGroupA[[#This Row],[Table_Rank_Code]],tblGroupTotals[Table_Rank_Code],0),MATCH("Total_Points",tblGroupTotals[#Headers],0))</f>
        <v>0</v>
      </c>
      <c r="N8" s="27" t="str">
        <f ca="1">IF(INDEX(tblGroupTotals[],MATCH(tblGroupA[[#This Row],[Table_Rank_Code]],tblGroupTotals[Table_Rank_Code],0),MATCH("Group_Points_TieBreak_Rank_1",tblGroupTotals[#Headers],0))&lt;&gt;4,INDEX(tblGroupTotals[],MATCH(tblGroupA[[#This Row],[Table_Rank_Code]],tblGroupTotals[Table_Rank_Code],0),MATCH("Group_Points_TieBreak_Rank_1",tblGroupTotals[#Headers],0)),"")</f>
        <v/>
      </c>
      <c r="O8" s="27">
        <f ca="1">INDEX(tblGroupTotals[],MATCH(tblGroupA[[#This Row],[Table_Rank_Code]],tblGroupTotals[Table_Rank_Code],0),MATCH("Total_Diciplinary_Points",tblGroupTotals[#Headers],0))</f>
        <v>0</v>
      </c>
      <c r="P8" s="27">
        <f ca="1">INDEX(tblGroupTotals[],MATCH(tblGroupA[[#This Row],[Table_Rank_Code]],tblGroupTotals[Table_Rank_Code],0),MATCH("Total_Group_Rank_Value",tblGroupTotals[#Headers],0))</f>
        <v>144111111</v>
      </c>
      <c r="Q8" s="27" t="str">
        <f ca="1">LEFT(tblGroupA[[#This Row],[Total_Group_Rank_Value]],1)</f>
        <v>1</v>
      </c>
      <c r="R8" s="27" t="str">
        <f ca="1">LEFT(tblGroupA[[#This Row],[Total_Group_Rank_Value]],3)</f>
        <v>144</v>
      </c>
      <c r="S8" s="27" t="str">
        <f ca="1">LEFT(tblGroupA[[#This Row],[Total_Group_Rank_Value]],5)</f>
        <v>14411</v>
      </c>
      <c r="T8" s="27" t="str">
        <f ca="1">LEFT(tblGroupA[[#This Row],[Total_Group_Rank_Value]],6)</f>
        <v>144111</v>
      </c>
      <c r="U8" s="27" t="str">
        <f ca="1">LEFT(tblGroupA[[#This Row],[Total_Group_Rank_Value]],7)</f>
        <v>1441111</v>
      </c>
      <c r="V8" s="27" t="str">
        <f ca="1">LEFT(tblGroupA[[#This Row],[Total_Group_Rank_Value]],8)</f>
        <v>14411111</v>
      </c>
      <c r="W8" s="27" t="b">
        <f ca="1">COUNTIF(tblGroupA[Group_Point_Rank_Value],tblGroupA[[#This Row],[Group_Point_Rank_Value]])&gt;1</f>
        <v>1</v>
      </c>
      <c r="X8" s="27" t="b">
        <f ca="1">COUNTIF(tblGroupA[Head_To_Head_Rank_Value],tblGroupA[[#This Row],[Head_To_Head_Rank_Value]])&gt;1</f>
        <v>1</v>
      </c>
      <c r="Y8" s="27" t="b">
        <f ca="1">COUNTIF(tblGroupA[Group_Goals_Rank_Value],tblGroupA[[#This Row],[Group_Goals_Rank_Value]])&gt;1</f>
        <v>1</v>
      </c>
      <c r="Z8" s="27" t="b">
        <f ca="1">COUNTIF(tblGroupA[Wins_Rank_Value],tblGroupA[[#This Row],[Wins_Rank_Value]])&gt;1</f>
        <v>1</v>
      </c>
      <c r="AA8" s="27" t="b">
        <f ca="1">COUNTIF(tblGroupA[Penalty_Rank_Value],tblGroupA[[#This Row],[Penalty_Rank_Value]])&gt;1</f>
        <v>1</v>
      </c>
      <c r="AB8" s="27" t="b">
        <f ca="1">COUNTIF(tblGroupA[Diciplinary_Rank_Value],tblGroupA[[#This Row],[Diciplinary_Rank_Value]])&gt;1</f>
        <v>1</v>
      </c>
      <c r="AC8" s="27" t="b">
        <f ca="1">COUNTIF(tblGroupA[Total_Group_Rank_Value],tblGroupA[[#This Row],[Total_Group_Rank_Value]])&gt;1</f>
        <v>0</v>
      </c>
      <c r="AD8" s="27" t="str">
        <f ca="1">IF(tblGroupA[[#This Row],[Points_Match]],IF(tblGroupA[[#This Row],[H2H_Match]],IF(tblGroupA[[#This Row],[Goals_Match]],IF(tblGroupA[[#This Row],[Wins_Match]],IF(tblGroupA[[#This Row],[Penalty_Match]],IF(tblGroupA[[#This Row],[Disciplinary_Match]],"Euro Qualifier Rank","Disciplinary Points ("&amp;tblGroupA[[#This Row],[Total_Diciplinary_Points]]&amp;")"),"Penalties"),"Wins ("&amp;tblGroupA[[#This Row],[Table_Won]]&amp;")"),""),"Head 2 Head ("&amp;tblGroupA[[#This Row],[Table_Head_to_Head_Rank]]&amp;")"),"")</f>
        <v>Euro Qualifier Rank</v>
      </c>
      <c r="AE8" s="27" t="b">
        <f ca="1">AND(tblGroupA[[#This Row],[Table_Position]]=3,COUNTIFS(tblGroupThirdPlace[Team_Number],tblGroupA[[#This Row],[Team_Number]],tblGroupThirdPlace[Table_Position],"&lt;5")&gt;0)</f>
        <v>0</v>
      </c>
      <c r="AH8" s="29" t="s">
        <v>330</v>
      </c>
      <c r="AI8" s="28" t="str">
        <f>TEXT(INDEX(tblGroupMatch[],MATCH(tblMatchesA[[#This Row],[Match_Code]],tblGroupMatch[Match_Code],0),MATCH("Date &amp; Time",tblGroupMatch[#Headers],0)),"ddd dd mmm hh:mm")&amp;" ("&amp;INDEX(tblGroupMatch[],MATCH(tblMatchesA[[#This Row],[Match_Code]],tblGroupMatch[Match_Code],0),MATCH("TV_Station",tblGroupMatch[#Headers],0))&amp;")"</f>
        <v>Fri 11 Jun 20:00 (BBC)</v>
      </c>
      <c r="AJ8" s="28" t="str">
        <f>INDEX(tblGroupMatch[],MATCH(tblMatchesA[[#This Row],[Match_Code]],tblGroupMatch[Match_Code],0),MATCH("Team A Name",tblGroupMatch[#Headers],0))</f>
        <v>Turkey</v>
      </c>
      <c r="AK8" s="28" t="str">
        <f>INDEX(tblGroupMatch[],MATCH(tblMatchesA[[#This Row],[Match_Code]],tblGroupMatch[Match_Code],0),MATCH("Team A Goals",tblGroupMatch[#Headers],0))&amp;IF(AND(tblMatchesA[[#This Row],[Team A Penalties]]&gt;0,tblMatchesA[[#This Row],[Team B Penalties]]&gt;0)," (Pen "&amp;tblMatchesA[[#This Row],[Team A Penalties]]&amp;")","")</f>
        <v/>
      </c>
      <c r="AL8" s="28">
        <f>INDEX(tblGroupMatch[],MATCH(tblMatchesA[[#This Row],[Match_Code]],tblGroupMatch[Match_Code],0),MATCH("Team A Penalties",tblGroupMatch[#Headers],0))</f>
        <v>0</v>
      </c>
      <c r="AM8" s="28">
        <f>INDEX(tblGroupMatch[],MATCH(tblMatchesA[[#This Row],[Match_Code]],tblGroupMatch[Match_Code],0),MATCH("Team B Penalties",tblGroupMatch[#Headers],0))</f>
        <v>0</v>
      </c>
      <c r="AN8" s="28" t="str">
        <f>IF(AND(tblMatchesA[[#This Row],[Team A Penalties]]&gt;0,tblMatchesA[[#This Row],[Team B Penalties]]&gt;0),"(Pen "&amp;tblMatchesA[[#This Row],[Team B Penalties]]&amp;") ","")&amp;INDEX(tblGroupMatch[],MATCH(tblMatchesA[[#This Row],[Match_Code]],tblGroupMatch[Match_Code],0),MATCH("Team B Goals",tblGroupMatch[#Headers],0))</f>
        <v/>
      </c>
      <c r="AO8" s="28" t="str">
        <f>INDEX(tblGroupMatch[],MATCH(tblMatchesA[[#This Row],[Match_Code]],tblGroupMatch[Match_Code],0),MATCH("Team B Name",tblGroupMatch[#Headers],0))</f>
        <v>Italy</v>
      </c>
      <c r="AP8" s="28" t="str">
        <f>INDEX(tblGroupMatch[],MATCH(tblMatchesA[[#This Row],[Match_Code]],tblGroupMatch[Match_Code],0),MATCH("Venue",tblGroupMatch[#Headers],0))</f>
        <v>Stadio Olimpico (ITA)</v>
      </c>
      <c r="AQ8" s="28" t="str">
        <f>" - "</f>
        <v xml:space="preserve"> - </v>
      </c>
      <c r="AS8" s="42"/>
      <c r="AT8" s="60">
        <f t="array" ref="AT8:BC11">D8:M11</f>
        <v>1</v>
      </c>
      <c r="AU8" s="61" t="str">
        <f ca="1"/>
        <v>Italy</v>
      </c>
      <c r="AV8" s="62">
        <f ca="1"/>
        <v>0</v>
      </c>
      <c r="AW8" s="62">
        <f ca="1"/>
        <v>0</v>
      </c>
      <c r="AX8" s="62">
        <f ca="1"/>
        <v>0</v>
      </c>
      <c r="AY8" s="62">
        <f ca="1"/>
        <v>0</v>
      </c>
      <c r="AZ8" s="62">
        <f ca="1"/>
        <v>0</v>
      </c>
      <c r="BA8" s="62">
        <f ca="1"/>
        <v>0</v>
      </c>
      <c r="BB8" s="62">
        <f ca="1"/>
        <v>0</v>
      </c>
      <c r="BC8" s="63">
        <f ca="1"/>
        <v>0</v>
      </c>
      <c r="BD8" s="93" t="str">
        <f t="array" aca="1" ref="BD8:BD11" ca="1">AD8:AD11</f>
        <v>Euro Qualifier Rank</v>
      </c>
      <c r="BE8" s="36"/>
      <c r="BG8" s="36"/>
      <c r="BH8" s="90" t="str">
        <v>Sat 12 Jun 14:00 (BBC)</v>
      </c>
      <c r="BI8" s="73" t="str">
        <v>Wales</v>
      </c>
      <c r="BJ8" s="74" t="str">
        <v/>
      </c>
      <c r="BK8" s="75" t="str">
        <v xml:space="preserve"> - </v>
      </c>
      <c r="BL8" s="74" t="str">
        <v/>
      </c>
      <c r="BM8" s="76" t="str">
        <v>Switzerland</v>
      </c>
      <c r="BN8" s="77" t="str">
        <v>Olympic Stadium (AZE)</v>
      </c>
      <c r="BO8" s="42"/>
    </row>
    <row r="9" spans="2:67" ht="17.25" x14ac:dyDescent="0.3">
      <c r="B9" s="27" t="s">
        <v>197</v>
      </c>
      <c r="C9" s="27">
        <f ca="1">INDEX(tblGroupTotals[],MATCH(tblGroupA[[#This Row],[Table_Rank_Code]],tblGroupTotals[Table_Rank_Code],0),MATCH("Team_Number",tblGroupTotals[#Headers],0))</f>
        <v>4</v>
      </c>
      <c r="D9" s="27">
        <v>2</v>
      </c>
      <c r="E9" s="27" t="str">
        <f ca="1">INDEX(lkupTeam[],MATCH(tblGroupA[[#This Row],[Team_Number]],lkupTeam[Team_Number],0),MATCH("Team",lkupTeam[#Headers],0))</f>
        <v>Switzerland</v>
      </c>
      <c r="F9" s="27">
        <f ca="1">INDEX(tblGroupTotals[],MATCH(tblGroupA[[#This Row],[Table_Rank_Code]],tblGroupTotals[Table_Rank_Code],0),MATCH("Total_Games",tblGroupTotals[#Headers],0))</f>
        <v>0</v>
      </c>
      <c r="G9" s="27">
        <f ca="1">INDEX(tblGroupTotals[],MATCH(tblGroupA[[#This Row],[Table_Rank_Code]],tblGroupTotals[Table_Rank_Code],0),MATCH("Total_Wins",tblGroupTotals[#Headers],0))</f>
        <v>0</v>
      </c>
      <c r="H9" s="27">
        <f ca="1">INDEX(tblGroupTotals[],MATCH(tblGroupA[[#This Row],[Table_Rank_Code]],tblGroupTotals[Table_Rank_Code],0),MATCH("Total_Draws",tblGroupTotals[#Headers],0))</f>
        <v>0</v>
      </c>
      <c r="I9" s="27">
        <f ca="1">INDEX(tblGroupTotals[],MATCH(tblGroupA[[#This Row],[Table_Rank_Code]],tblGroupTotals[Table_Rank_Code],0),MATCH("Total_Loses",tblGroupTotals[#Headers],0))</f>
        <v>0</v>
      </c>
      <c r="J9" s="27">
        <f ca="1">INDEX(tblGroupTotals[],MATCH(tblGroupA[[#This Row],[Table_Rank_Code]],tblGroupTotals[Table_Rank_Code],0),MATCH("Total_Goals_For",tblGroupTotals[#Headers],0))</f>
        <v>0</v>
      </c>
      <c r="K9" s="27">
        <f ca="1">INDEX(tblGroupTotals[],MATCH(tblGroupA[[#This Row],[Table_Rank_Code]],tblGroupTotals[Table_Rank_Code],0),MATCH("Total_Goals_Against",tblGroupTotals[#Headers],0))</f>
        <v>0</v>
      </c>
      <c r="L9" s="27">
        <f ca="1">INDEX(tblGroupTotals[],MATCH(tblGroupA[[#This Row],[Table_Rank_Code]],tblGroupTotals[Table_Rank_Code],0),MATCH("Goal_Difference",tblGroupTotals[#Headers],0))</f>
        <v>0</v>
      </c>
      <c r="M9" s="27">
        <f ca="1">INDEX(tblGroupTotals[],MATCH(tblGroupA[[#This Row],[Table_Rank_Code]],tblGroupTotals[Table_Rank_Code],0),MATCH("Total_Points",tblGroupTotals[#Headers],0))</f>
        <v>0</v>
      </c>
      <c r="N9" s="27" t="str">
        <f ca="1">IF(INDEX(tblGroupTotals[],MATCH(tblGroupA[[#This Row],[Table_Rank_Code]],tblGroupTotals[Table_Rank_Code],0),MATCH("Group_Points_TieBreak_Rank_1",tblGroupTotals[#Headers],0))&lt;&gt;4,INDEX(tblGroupTotals[],MATCH(tblGroupA[[#This Row],[Table_Rank_Code]],tblGroupTotals[Table_Rank_Code],0),MATCH("Group_Points_TieBreak_Rank_1",tblGroupTotals[#Headers],0)),"")</f>
        <v/>
      </c>
      <c r="O9" s="27">
        <f ca="1">INDEX(tblGroupTotals[],MATCH(tblGroupA[[#This Row],[Table_Rank_Code]],tblGroupTotals[Table_Rank_Code],0),MATCH("Total_Diciplinary_Points",tblGroupTotals[#Headers],0))</f>
        <v>0</v>
      </c>
      <c r="P9" s="27">
        <f ca="1">INDEX(tblGroupTotals[],MATCH(tblGroupA[[#This Row],[Table_Rank_Code]],tblGroupTotals[Table_Rank_Code],0),MATCH("Total_Group_Rank_Value",tblGroupTotals[#Headers],0))</f>
        <v>144111112</v>
      </c>
      <c r="Q9" s="27" t="str">
        <f ca="1">LEFT(tblGroupA[[#This Row],[Total_Group_Rank_Value]],1)</f>
        <v>1</v>
      </c>
      <c r="R9" s="27" t="str">
        <f ca="1">LEFT(tblGroupA[[#This Row],[Total_Group_Rank_Value]],3)</f>
        <v>144</v>
      </c>
      <c r="S9" s="27" t="str">
        <f ca="1">LEFT(tblGroupA[[#This Row],[Total_Group_Rank_Value]],5)</f>
        <v>14411</v>
      </c>
      <c r="T9" s="27" t="str">
        <f ca="1">LEFT(tblGroupA[[#This Row],[Total_Group_Rank_Value]],6)</f>
        <v>144111</v>
      </c>
      <c r="U9" s="27" t="str">
        <f ca="1">LEFT(tblGroupA[[#This Row],[Total_Group_Rank_Value]],7)</f>
        <v>1441111</v>
      </c>
      <c r="V9" s="27" t="str">
        <f ca="1">LEFT(tblGroupA[[#This Row],[Total_Group_Rank_Value]],8)</f>
        <v>14411111</v>
      </c>
      <c r="W9" s="27" t="b">
        <f ca="1">COUNTIF(tblGroupA[Group_Point_Rank_Value],tblGroupA[[#This Row],[Group_Point_Rank_Value]])&gt;1</f>
        <v>1</v>
      </c>
      <c r="X9" s="27" t="b">
        <f ca="1">COUNTIF(tblGroupA[Head_To_Head_Rank_Value],tblGroupA[[#This Row],[Head_To_Head_Rank_Value]])&gt;1</f>
        <v>1</v>
      </c>
      <c r="Y9" s="27" t="b">
        <f ca="1">COUNTIF(tblGroupA[Group_Goals_Rank_Value],tblGroupA[[#This Row],[Group_Goals_Rank_Value]])&gt;1</f>
        <v>1</v>
      </c>
      <c r="Z9" s="27" t="b">
        <f ca="1">COUNTIF(tblGroupA[Wins_Rank_Value],tblGroupA[[#This Row],[Wins_Rank_Value]])&gt;1</f>
        <v>1</v>
      </c>
      <c r="AA9" s="27" t="b">
        <f ca="1">COUNTIF(tblGroupA[Penalty_Rank_Value],tblGroupA[[#This Row],[Penalty_Rank_Value]])&gt;1</f>
        <v>1</v>
      </c>
      <c r="AB9" s="27" t="b">
        <f ca="1">COUNTIF(tblGroupA[Diciplinary_Rank_Value],tblGroupA[[#This Row],[Diciplinary_Rank_Value]])&gt;1</f>
        <v>1</v>
      </c>
      <c r="AC9" s="27" t="b">
        <f ca="1">COUNTIF(tblGroupA[Total_Group_Rank_Value],tblGroupA[[#This Row],[Total_Group_Rank_Value]])&gt;1</f>
        <v>0</v>
      </c>
      <c r="AD9" s="27" t="str">
        <f ca="1">IF(tblGroupA[[#This Row],[Points_Match]],IF(tblGroupA[[#This Row],[H2H_Match]],IF(tblGroupA[[#This Row],[Goals_Match]],IF(tblGroupA[[#This Row],[Wins_Match]],IF(tblGroupA[[#This Row],[Penalty_Match]],IF(tblGroupA[[#This Row],[Disciplinary_Match]],"Euro Qualifier Rank","Disciplinary Points ("&amp;tblGroupA[[#This Row],[Total_Diciplinary_Points]]&amp;")"),"Penalties"),"Wins ("&amp;tblGroupA[[#This Row],[Table_Won]]&amp;")"),""),"Head 2 Head ("&amp;tblGroupA[[#This Row],[Table_Head_to_Head_Rank]]&amp;")"),"")</f>
        <v>Euro Qualifier Rank</v>
      </c>
      <c r="AE9" s="27" t="b">
        <f ca="1">AND(tblGroupA[[#This Row],[Table_Position]]=3,COUNTIFS(tblGroupThirdPlace[Team_Number],tblGroupA[[#This Row],[Team_Number]],tblGroupThirdPlace[Table_Position],"&lt;5")&gt;0)</f>
        <v>0</v>
      </c>
      <c r="AH9" s="29" t="s">
        <v>331</v>
      </c>
      <c r="AI9" s="28" t="str">
        <f>TEXT(INDEX(tblGroupMatch[],MATCH(tblMatchesA[[#This Row],[Match_Code]],tblGroupMatch[Match_Code],0),MATCH("Date &amp; Time",tblGroupMatch[#Headers],0)),"ddd dd mmm hh:mm")&amp;" ("&amp;INDEX(tblGroupMatch[],MATCH(tblMatchesA[[#This Row],[Match_Code]],tblGroupMatch[Match_Code],0),MATCH("TV_Station",tblGroupMatch[#Headers],0))&amp;")"</f>
        <v>Sat 12 Jun 14:00 (BBC)</v>
      </c>
      <c r="AJ9" s="28" t="str">
        <f>INDEX(tblGroupMatch[],MATCH(tblMatchesA[[#This Row],[Match_Code]],tblGroupMatch[Match_Code],0),MATCH("Team A Name",tblGroupMatch[#Headers],0))</f>
        <v>Wales</v>
      </c>
      <c r="AK9" s="28" t="str">
        <f>INDEX(tblGroupMatch[],MATCH(tblMatchesA[[#This Row],[Match_Code]],tblGroupMatch[Match_Code],0),MATCH("Team A Goals",tblGroupMatch[#Headers],0))&amp;IF(AND(tblMatchesA[[#This Row],[Team A Penalties]]&gt;0,tblMatchesA[[#This Row],[Team B Penalties]]&gt;0)," (Pen "&amp;tblMatchesA[[#This Row],[Team A Penalties]]&amp;")","")</f>
        <v/>
      </c>
      <c r="AL9" s="28">
        <f>INDEX(tblGroupMatch[],MATCH(tblMatchesA[[#This Row],[Match_Code]],tblGroupMatch[Match_Code],0),MATCH("Team A Penalties",tblGroupMatch[#Headers],0))</f>
        <v>0</v>
      </c>
      <c r="AM9" s="28">
        <f>INDEX(tblGroupMatch[],MATCH(tblMatchesA[[#This Row],[Match_Code]],tblGroupMatch[Match_Code],0),MATCH("Team B Penalties",tblGroupMatch[#Headers],0))</f>
        <v>0</v>
      </c>
      <c r="AN9" s="28" t="str">
        <f>IF(AND(tblMatchesA[[#This Row],[Team A Penalties]]&gt;0,tblMatchesA[[#This Row],[Team B Penalties]]&gt;0),"(Pen "&amp;tblMatchesA[[#This Row],[Team B Penalties]]&amp;") ","")&amp;INDEX(tblGroupMatch[],MATCH(tblMatchesA[[#This Row],[Match_Code]],tblGroupMatch[Match_Code],0),MATCH("Team B Goals",tblGroupMatch[#Headers],0))</f>
        <v/>
      </c>
      <c r="AO9" s="28" t="str">
        <f>INDEX(tblGroupMatch[],MATCH(tblMatchesA[[#This Row],[Match_Code]],tblGroupMatch[Match_Code],0),MATCH("Team B Name",tblGroupMatch[#Headers],0))</f>
        <v>Switzerland</v>
      </c>
      <c r="AP9" s="28" t="str">
        <f>INDEX(tblGroupMatch[],MATCH(tblMatchesA[[#This Row],[Match_Code]],tblGroupMatch[Match_Code],0),MATCH("Venue",tblGroupMatch[#Headers],0))</f>
        <v>Olympic Stadium (AZE)</v>
      </c>
      <c r="AQ9" s="28" t="str">
        <f t="shared" ref="AQ9:AQ13" si="0">" - "</f>
        <v xml:space="preserve"> - </v>
      </c>
      <c r="AS9" s="42"/>
      <c r="AT9" s="60">
        <v>2</v>
      </c>
      <c r="AU9" s="61" t="str">
        <f ca="1"/>
        <v>Switzerland</v>
      </c>
      <c r="AV9" s="62">
        <f ca="1"/>
        <v>0</v>
      </c>
      <c r="AW9" s="62">
        <f ca="1"/>
        <v>0</v>
      </c>
      <c r="AX9" s="62">
        <f ca="1"/>
        <v>0</v>
      </c>
      <c r="AY9" s="62">
        <f ca="1"/>
        <v>0</v>
      </c>
      <c r="AZ9" s="62">
        <f ca="1"/>
        <v>0</v>
      </c>
      <c r="BA9" s="62">
        <f ca="1"/>
        <v>0</v>
      </c>
      <c r="BB9" s="62">
        <f ca="1"/>
        <v>0</v>
      </c>
      <c r="BC9" s="63">
        <f ca="1"/>
        <v>0</v>
      </c>
      <c r="BD9" s="93" t="str">
        <f ca="1"/>
        <v>Euro Qualifier Rank</v>
      </c>
      <c r="BE9" s="36"/>
      <c r="BG9" s="36"/>
      <c r="BH9" s="89" t="str">
        <v>Wed 16 Jun 17:00 (BBC)</v>
      </c>
      <c r="BI9" s="68" t="str">
        <v>Turkey</v>
      </c>
      <c r="BJ9" s="69" t="str">
        <v/>
      </c>
      <c r="BK9" s="70" t="str">
        <v xml:space="preserve"> - </v>
      </c>
      <c r="BL9" s="69" t="str">
        <v/>
      </c>
      <c r="BM9" s="71" t="str">
        <v>Wales</v>
      </c>
      <c r="BN9" s="72" t="str">
        <v>Olympic Stadium (AZE)</v>
      </c>
      <c r="BO9" s="42"/>
    </row>
    <row r="10" spans="2:67" ht="17.25" x14ac:dyDescent="0.3">
      <c r="B10" s="27" t="s">
        <v>198</v>
      </c>
      <c r="C10" s="27">
        <f ca="1">INDEX(tblGroupTotals[],MATCH(tblGroupA[[#This Row],[Table_Rank_Code]],tblGroupTotals[Table_Rank_Code],0),MATCH("Team_Number",tblGroupTotals[#Headers],0))</f>
        <v>1</v>
      </c>
      <c r="D10" s="27">
        <v>3</v>
      </c>
      <c r="E10" s="27" t="str">
        <f ca="1">INDEX(lkupTeam[],MATCH(tblGroupA[[#This Row],[Team_Number]],lkupTeam[Team_Number],0),MATCH("Team",lkupTeam[#Headers],0))</f>
        <v>Turkey</v>
      </c>
      <c r="F10" s="27">
        <f ca="1">INDEX(tblGroupTotals[],MATCH(tblGroupA[[#This Row],[Table_Rank_Code]],tblGroupTotals[Table_Rank_Code],0),MATCH("Total_Games",tblGroupTotals[#Headers],0))</f>
        <v>0</v>
      </c>
      <c r="G10" s="27">
        <f ca="1">INDEX(tblGroupTotals[],MATCH(tblGroupA[[#This Row],[Table_Rank_Code]],tblGroupTotals[Table_Rank_Code],0),MATCH("Total_Wins",tblGroupTotals[#Headers],0))</f>
        <v>0</v>
      </c>
      <c r="H10" s="27">
        <f ca="1">INDEX(tblGroupTotals[],MATCH(tblGroupA[[#This Row],[Table_Rank_Code]],tblGroupTotals[Table_Rank_Code],0),MATCH("Total_Draws",tblGroupTotals[#Headers],0))</f>
        <v>0</v>
      </c>
      <c r="I10" s="27">
        <f ca="1">INDEX(tblGroupTotals[],MATCH(tblGroupA[[#This Row],[Table_Rank_Code]],tblGroupTotals[Table_Rank_Code],0),MATCH("Total_Loses",tblGroupTotals[#Headers],0))</f>
        <v>0</v>
      </c>
      <c r="J10" s="27">
        <f ca="1">INDEX(tblGroupTotals[],MATCH(tblGroupA[[#This Row],[Table_Rank_Code]],tblGroupTotals[Table_Rank_Code],0),MATCH("Total_Goals_For",tblGroupTotals[#Headers],0))</f>
        <v>0</v>
      </c>
      <c r="K10" s="27">
        <f ca="1">INDEX(tblGroupTotals[],MATCH(tblGroupA[[#This Row],[Table_Rank_Code]],tblGroupTotals[Table_Rank_Code],0),MATCH("Total_Goals_Against",tblGroupTotals[#Headers],0))</f>
        <v>0</v>
      </c>
      <c r="L10" s="27">
        <f ca="1">INDEX(tblGroupTotals[],MATCH(tblGroupA[[#This Row],[Table_Rank_Code]],tblGroupTotals[Table_Rank_Code],0),MATCH("Goal_Difference",tblGroupTotals[#Headers],0))</f>
        <v>0</v>
      </c>
      <c r="M10" s="27">
        <f ca="1">INDEX(tblGroupTotals[],MATCH(tblGroupA[[#This Row],[Table_Rank_Code]],tblGroupTotals[Table_Rank_Code],0),MATCH("Total_Points",tblGroupTotals[#Headers],0))</f>
        <v>0</v>
      </c>
      <c r="N10" s="27" t="str">
        <f ca="1">IF(INDEX(tblGroupTotals[],MATCH(tblGroupA[[#This Row],[Table_Rank_Code]],tblGroupTotals[Table_Rank_Code],0),MATCH("Group_Points_TieBreak_Rank_1",tblGroupTotals[#Headers],0))&lt;&gt;4,INDEX(tblGroupTotals[],MATCH(tblGroupA[[#This Row],[Table_Rank_Code]],tblGroupTotals[Table_Rank_Code],0),MATCH("Group_Points_TieBreak_Rank_1",tblGroupTotals[#Headers],0)),"")</f>
        <v/>
      </c>
      <c r="O10" s="27">
        <f ca="1">INDEX(tblGroupTotals[],MATCH(tblGroupA[[#This Row],[Table_Rank_Code]],tblGroupTotals[Table_Rank_Code],0),MATCH("Total_Diciplinary_Points",tblGroupTotals[#Headers],0))</f>
        <v>0</v>
      </c>
      <c r="P10" s="27">
        <f ca="1">INDEX(tblGroupTotals[],MATCH(tblGroupA[[#This Row],[Table_Rank_Code]],tblGroupTotals[Table_Rank_Code],0),MATCH("Total_Group_Rank_Value",tblGroupTotals[#Headers],0))</f>
        <v>144111113</v>
      </c>
      <c r="Q10" s="27" t="str">
        <f ca="1">LEFT(tblGroupA[[#This Row],[Total_Group_Rank_Value]],1)</f>
        <v>1</v>
      </c>
      <c r="R10" s="27" t="str">
        <f ca="1">LEFT(tblGroupA[[#This Row],[Total_Group_Rank_Value]],3)</f>
        <v>144</v>
      </c>
      <c r="S10" s="27" t="str">
        <f ca="1">LEFT(tblGroupA[[#This Row],[Total_Group_Rank_Value]],5)</f>
        <v>14411</v>
      </c>
      <c r="T10" s="27" t="str">
        <f ca="1">LEFT(tblGroupA[[#This Row],[Total_Group_Rank_Value]],6)</f>
        <v>144111</v>
      </c>
      <c r="U10" s="27" t="str">
        <f ca="1">LEFT(tblGroupA[[#This Row],[Total_Group_Rank_Value]],7)</f>
        <v>1441111</v>
      </c>
      <c r="V10" s="27" t="str">
        <f ca="1">LEFT(tblGroupA[[#This Row],[Total_Group_Rank_Value]],8)</f>
        <v>14411111</v>
      </c>
      <c r="W10" s="27" t="b">
        <f ca="1">COUNTIF(tblGroupA[Group_Point_Rank_Value],tblGroupA[[#This Row],[Group_Point_Rank_Value]])&gt;1</f>
        <v>1</v>
      </c>
      <c r="X10" s="27" t="b">
        <f ca="1">COUNTIF(tblGroupA[Head_To_Head_Rank_Value],tblGroupA[[#This Row],[Head_To_Head_Rank_Value]])&gt;1</f>
        <v>1</v>
      </c>
      <c r="Y10" s="27" t="b">
        <f ca="1">COUNTIF(tblGroupA[Group_Goals_Rank_Value],tblGroupA[[#This Row],[Group_Goals_Rank_Value]])&gt;1</f>
        <v>1</v>
      </c>
      <c r="Z10" s="27" t="b">
        <f ca="1">COUNTIF(tblGroupA[Wins_Rank_Value],tblGroupA[[#This Row],[Wins_Rank_Value]])&gt;1</f>
        <v>1</v>
      </c>
      <c r="AA10" s="27" t="b">
        <f ca="1">COUNTIF(tblGroupA[Penalty_Rank_Value],tblGroupA[[#This Row],[Penalty_Rank_Value]])&gt;1</f>
        <v>1</v>
      </c>
      <c r="AB10" s="27" t="b">
        <f ca="1">COUNTIF(tblGroupA[Diciplinary_Rank_Value],tblGroupA[[#This Row],[Diciplinary_Rank_Value]])&gt;1</f>
        <v>1</v>
      </c>
      <c r="AC10" s="27" t="b">
        <f ca="1">COUNTIF(tblGroupA[Total_Group_Rank_Value],tblGroupA[[#This Row],[Total_Group_Rank_Value]])&gt;1</f>
        <v>0</v>
      </c>
      <c r="AD10" s="27" t="str">
        <f ca="1">IF(tblGroupA[[#This Row],[Points_Match]],IF(tblGroupA[[#This Row],[H2H_Match]],IF(tblGroupA[[#This Row],[Goals_Match]],IF(tblGroupA[[#This Row],[Wins_Match]],IF(tblGroupA[[#This Row],[Penalty_Match]],IF(tblGroupA[[#This Row],[Disciplinary_Match]],"Euro Qualifier Rank","Disciplinary Points ("&amp;tblGroupA[[#This Row],[Total_Diciplinary_Points]]&amp;")"),"Penalties"),"Wins ("&amp;tblGroupA[[#This Row],[Table_Won]]&amp;")"),""),"Head 2 Head ("&amp;tblGroupA[[#This Row],[Table_Head_to_Head_Rank]]&amp;")"),"")</f>
        <v>Euro Qualifier Rank</v>
      </c>
      <c r="AE10" s="27" t="b">
        <f ca="1">AND(tblGroupA[[#This Row],[Table_Position]]=3,COUNTIFS(tblGroupThirdPlace[Team_Number],tblGroupA[[#This Row],[Team_Number]],tblGroupThirdPlace[Table_Position],"&lt;5")&gt;0)</f>
        <v>1</v>
      </c>
      <c r="AH10" s="29" t="s">
        <v>332</v>
      </c>
      <c r="AI10" s="28" t="str">
        <f>TEXT(INDEX(tblGroupMatch[],MATCH(tblMatchesA[[#This Row],[Match_Code]],tblGroupMatch[Match_Code],0),MATCH("Date &amp; Time",tblGroupMatch[#Headers],0)),"ddd dd mmm hh:mm")&amp;" ("&amp;INDEX(tblGroupMatch[],MATCH(tblMatchesA[[#This Row],[Match_Code]],tblGroupMatch[Match_Code],0),MATCH("TV_Station",tblGroupMatch[#Headers],0))&amp;")"</f>
        <v>Wed 16 Jun 17:00 (BBC)</v>
      </c>
      <c r="AJ10" s="28" t="str">
        <f>INDEX(tblGroupMatch[],MATCH(tblMatchesA[[#This Row],[Match_Code]],tblGroupMatch[Match_Code],0),MATCH("Team A Name",tblGroupMatch[#Headers],0))</f>
        <v>Turkey</v>
      </c>
      <c r="AK10" s="28" t="str">
        <f>INDEX(tblGroupMatch[],MATCH(tblMatchesA[[#This Row],[Match_Code]],tblGroupMatch[Match_Code],0),MATCH("Team A Goals",tblGroupMatch[#Headers],0))&amp;IF(AND(tblMatchesA[[#This Row],[Team A Penalties]]&gt;0,tblMatchesA[[#This Row],[Team B Penalties]]&gt;0)," (Pen "&amp;tblMatchesA[[#This Row],[Team A Penalties]]&amp;")","")</f>
        <v/>
      </c>
      <c r="AL10" s="28">
        <f>INDEX(tblGroupMatch[],MATCH(tblMatchesA[[#This Row],[Match_Code]],tblGroupMatch[Match_Code],0),MATCH("Team A Penalties",tblGroupMatch[#Headers],0))</f>
        <v>0</v>
      </c>
      <c r="AM10" s="28">
        <f>INDEX(tblGroupMatch[],MATCH(tblMatchesA[[#This Row],[Match_Code]],tblGroupMatch[Match_Code],0),MATCH("Team B Penalties",tblGroupMatch[#Headers],0))</f>
        <v>0</v>
      </c>
      <c r="AN10" s="28" t="str">
        <f>IF(AND(tblMatchesA[[#This Row],[Team A Penalties]]&gt;0,tblMatchesA[[#This Row],[Team B Penalties]]&gt;0),"(Pen "&amp;tblMatchesA[[#This Row],[Team B Penalties]]&amp;") ","")&amp;INDEX(tblGroupMatch[],MATCH(tblMatchesA[[#This Row],[Match_Code]],tblGroupMatch[Match_Code],0),MATCH("Team B Goals",tblGroupMatch[#Headers],0))</f>
        <v/>
      </c>
      <c r="AO10" s="28" t="str">
        <f>INDEX(tblGroupMatch[],MATCH(tblMatchesA[[#This Row],[Match_Code]],tblGroupMatch[Match_Code],0),MATCH("Team B Name",tblGroupMatch[#Headers],0))</f>
        <v>Wales</v>
      </c>
      <c r="AP10" s="28" t="str">
        <f>INDEX(tblGroupMatch[],MATCH(tblMatchesA[[#This Row],[Match_Code]],tblGroupMatch[Match_Code],0),MATCH("Venue",tblGroupMatch[#Headers],0))</f>
        <v>Olympic Stadium (AZE)</v>
      </c>
      <c r="AQ10" s="28" t="str">
        <f t="shared" si="0"/>
        <v xml:space="preserve"> - </v>
      </c>
      <c r="AS10" s="42"/>
      <c r="AT10" s="64">
        <v>3</v>
      </c>
      <c r="AU10" s="65" t="str">
        <f ca="1"/>
        <v>Turkey</v>
      </c>
      <c r="AV10" s="66">
        <f ca="1"/>
        <v>0</v>
      </c>
      <c r="AW10" s="66">
        <f ca="1"/>
        <v>0</v>
      </c>
      <c r="AX10" s="66">
        <f ca="1"/>
        <v>0</v>
      </c>
      <c r="AY10" s="66">
        <f ca="1"/>
        <v>0</v>
      </c>
      <c r="AZ10" s="66">
        <f ca="1"/>
        <v>0</v>
      </c>
      <c r="BA10" s="66">
        <f ca="1"/>
        <v>0</v>
      </c>
      <c r="BB10" s="66">
        <f ca="1"/>
        <v>0</v>
      </c>
      <c r="BC10" s="67">
        <f ca="1"/>
        <v>0</v>
      </c>
      <c r="BD10" s="94" t="str">
        <f ca="1"/>
        <v>Euro Qualifier Rank</v>
      </c>
      <c r="BE10" s="36"/>
      <c r="BG10" s="36"/>
      <c r="BH10" s="90" t="str">
        <v>Wed 16 Jun 20:00 (iTV)</v>
      </c>
      <c r="BI10" s="73" t="str">
        <v>Italy</v>
      </c>
      <c r="BJ10" s="74" t="str">
        <v/>
      </c>
      <c r="BK10" s="75" t="str">
        <v xml:space="preserve"> - </v>
      </c>
      <c r="BL10" s="74" t="str">
        <v/>
      </c>
      <c r="BM10" s="76" t="str">
        <v>Switzerland</v>
      </c>
      <c r="BN10" s="77" t="str">
        <v>Stadio Olimpico (ITA)</v>
      </c>
      <c r="BO10" s="42"/>
    </row>
    <row r="11" spans="2:67" ht="17.25" x14ac:dyDescent="0.3">
      <c r="B11" s="27" t="s">
        <v>199</v>
      </c>
      <c r="C11" s="27">
        <f ca="1">INDEX(tblGroupTotals[],MATCH(tblGroupA[[#This Row],[Table_Rank_Code]],tblGroupTotals[Table_Rank_Code],0),MATCH("Team_Number",tblGroupTotals[#Headers],0))</f>
        <v>3</v>
      </c>
      <c r="D11" s="27">
        <v>4</v>
      </c>
      <c r="E11" s="27" t="str">
        <f ca="1">INDEX(lkupTeam[],MATCH(tblGroupA[[#This Row],[Team_Number]],lkupTeam[Team_Number],0),MATCH("Team",lkupTeam[#Headers],0))</f>
        <v>Wales</v>
      </c>
      <c r="F11" s="27">
        <f ca="1">INDEX(tblGroupTotals[],MATCH(tblGroupA[[#This Row],[Table_Rank_Code]],tblGroupTotals[Table_Rank_Code],0),MATCH("Total_Games",tblGroupTotals[#Headers],0))</f>
        <v>0</v>
      </c>
      <c r="G11" s="27">
        <f ca="1">INDEX(tblGroupTotals[],MATCH(tblGroupA[[#This Row],[Table_Rank_Code]],tblGroupTotals[Table_Rank_Code],0),MATCH("Total_Wins",tblGroupTotals[#Headers],0))</f>
        <v>0</v>
      </c>
      <c r="H11" s="27">
        <f ca="1">INDEX(tblGroupTotals[],MATCH(tblGroupA[[#This Row],[Table_Rank_Code]],tblGroupTotals[Table_Rank_Code],0),MATCH("Total_Draws",tblGroupTotals[#Headers],0))</f>
        <v>0</v>
      </c>
      <c r="I11" s="27">
        <f ca="1">INDEX(tblGroupTotals[],MATCH(tblGroupA[[#This Row],[Table_Rank_Code]],tblGroupTotals[Table_Rank_Code],0),MATCH("Total_Loses",tblGroupTotals[#Headers],0))</f>
        <v>0</v>
      </c>
      <c r="J11" s="27">
        <f ca="1">INDEX(tblGroupTotals[],MATCH(tblGroupA[[#This Row],[Table_Rank_Code]],tblGroupTotals[Table_Rank_Code],0),MATCH("Total_Goals_For",tblGroupTotals[#Headers],0))</f>
        <v>0</v>
      </c>
      <c r="K11" s="27">
        <f ca="1">INDEX(tblGroupTotals[],MATCH(tblGroupA[[#This Row],[Table_Rank_Code]],tblGroupTotals[Table_Rank_Code],0),MATCH("Total_Goals_Against",tblGroupTotals[#Headers],0))</f>
        <v>0</v>
      </c>
      <c r="L11" s="27">
        <f ca="1">INDEX(tblGroupTotals[],MATCH(tblGroupA[[#This Row],[Table_Rank_Code]],tblGroupTotals[Table_Rank_Code],0),MATCH("Goal_Difference",tblGroupTotals[#Headers],0))</f>
        <v>0</v>
      </c>
      <c r="M11" s="27">
        <f ca="1">INDEX(tblGroupTotals[],MATCH(tblGroupA[[#This Row],[Table_Rank_Code]],tblGroupTotals[Table_Rank_Code],0),MATCH("Total_Points",tblGroupTotals[#Headers],0))</f>
        <v>0</v>
      </c>
      <c r="N11" s="27" t="str">
        <f ca="1">IF(INDEX(tblGroupTotals[],MATCH(tblGroupA[[#This Row],[Table_Rank_Code]],tblGroupTotals[Table_Rank_Code],0),MATCH("Group_Points_TieBreak_Rank_1",tblGroupTotals[#Headers],0))&lt;&gt;4,INDEX(tblGroupTotals[],MATCH(tblGroupA[[#This Row],[Table_Rank_Code]],tblGroupTotals[Table_Rank_Code],0),MATCH("Group_Points_TieBreak_Rank_1",tblGroupTotals[#Headers],0)),"")</f>
        <v/>
      </c>
      <c r="O11" s="27">
        <f ca="1">INDEX(tblGroupTotals[],MATCH(tblGroupA[[#This Row],[Table_Rank_Code]],tblGroupTotals[Table_Rank_Code],0),MATCH("Total_Diciplinary_Points",tblGroupTotals[#Headers],0))</f>
        <v>0</v>
      </c>
      <c r="P11" s="27">
        <f ca="1">INDEX(tblGroupTotals[],MATCH(tblGroupA[[#This Row],[Table_Rank_Code]],tblGroupTotals[Table_Rank_Code],0),MATCH("Total_Group_Rank_Value",tblGroupTotals[#Headers],0))</f>
        <v>144111114</v>
      </c>
      <c r="Q11" s="27" t="str">
        <f ca="1">LEFT(tblGroupA[[#This Row],[Total_Group_Rank_Value]],1)</f>
        <v>1</v>
      </c>
      <c r="R11" s="27" t="str">
        <f ca="1">LEFT(tblGroupA[[#This Row],[Total_Group_Rank_Value]],3)</f>
        <v>144</v>
      </c>
      <c r="S11" s="27" t="str">
        <f ca="1">LEFT(tblGroupA[[#This Row],[Total_Group_Rank_Value]],5)</f>
        <v>14411</v>
      </c>
      <c r="T11" s="27" t="str">
        <f ca="1">LEFT(tblGroupA[[#This Row],[Total_Group_Rank_Value]],6)</f>
        <v>144111</v>
      </c>
      <c r="U11" s="27" t="str">
        <f ca="1">LEFT(tblGroupA[[#This Row],[Total_Group_Rank_Value]],7)</f>
        <v>1441111</v>
      </c>
      <c r="V11" s="27" t="str">
        <f ca="1">LEFT(tblGroupA[[#This Row],[Total_Group_Rank_Value]],8)</f>
        <v>14411111</v>
      </c>
      <c r="W11" s="27" t="b">
        <f ca="1">COUNTIF(tblGroupA[Group_Point_Rank_Value],tblGroupA[[#This Row],[Group_Point_Rank_Value]])&gt;1</f>
        <v>1</v>
      </c>
      <c r="X11" s="27" t="b">
        <f ca="1">COUNTIF(tblGroupA[Head_To_Head_Rank_Value],tblGroupA[[#This Row],[Head_To_Head_Rank_Value]])&gt;1</f>
        <v>1</v>
      </c>
      <c r="Y11" s="27" t="b">
        <f ca="1">COUNTIF(tblGroupA[Group_Goals_Rank_Value],tblGroupA[[#This Row],[Group_Goals_Rank_Value]])&gt;1</f>
        <v>1</v>
      </c>
      <c r="Z11" s="27" t="b">
        <f ca="1">COUNTIF(tblGroupA[Wins_Rank_Value],tblGroupA[[#This Row],[Wins_Rank_Value]])&gt;1</f>
        <v>1</v>
      </c>
      <c r="AA11" s="27" t="b">
        <f ca="1">COUNTIF(tblGroupA[Penalty_Rank_Value],tblGroupA[[#This Row],[Penalty_Rank_Value]])&gt;1</f>
        <v>1</v>
      </c>
      <c r="AB11" s="27" t="b">
        <f ca="1">COUNTIF(tblGroupA[Diciplinary_Rank_Value],tblGroupA[[#This Row],[Diciplinary_Rank_Value]])&gt;1</f>
        <v>1</v>
      </c>
      <c r="AC11" s="27" t="b">
        <f ca="1">COUNTIF(tblGroupA[Total_Group_Rank_Value],tblGroupA[[#This Row],[Total_Group_Rank_Value]])&gt;1</f>
        <v>0</v>
      </c>
      <c r="AD11" s="27" t="str">
        <f ca="1">IF(tblGroupA[[#This Row],[Points_Match]],IF(tblGroupA[[#This Row],[H2H_Match]],IF(tblGroupA[[#This Row],[Goals_Match]],IF(tblGroupA[[#This Row],[Wins_Match]],IF(tblGroupA[[#This Row],[Penalty_Match]],IF(tblGroupA[[#This Row],[Disciplinary_Match]],"Euro Qualifier Rank","Disciplinary Points ("&amp;tblGroupA[[#This Row],[Total_Diciplinary_Points]]&amp;")"),"Penalties"),"Wins ("&amp;tblGroupA[[#This Row],[Table_Won]]&amp;")"),""),"Head 2 Head ("&amp;tblGroupA[[#This Row],[Table_Head_to_Head_Rank]]&amp;")"),"")</f>
        <v>Euro Qualifier Rank</v>
      </c>
      <c r="AE11" s="27" t="b">
        <f ca="1">AND(tblGroupA[[#This Row],[Table_Position]]=3,COUNTIFS(tblGroupThirdPlace[Team_Number],tblGroupA[[#This Row],[Team_Number]],tblGroupThirdPlace[Table_Position],"&lt;5")&gt;0)</f>
        <v>0</v>
      </c>
      <c r="AH11" s="29" t="s">
        <v>333</v>
      </c>
      <c r="AI11" s="28" t="str">
        <f>TEXT(INDEX(tblGroupMatch[],MATCH(tblMatchesA[[#This Row],[Match_Code]],tblGroupMatch[Match_Code],0),MATCH("Date &amp; Time",tblGroupMatch[#Headers],0)),"ddd dd mmm hh:mm")&amp;" ("&amp;INDEX(tblGroupMatch[],MATCH(tblMatchesA[[#This Row],[Match_Code]],tblGroupMatch[Match_Code],0),MATCH("TV_Station",tblGroupMatch[#Headers],0))&amp;")"</f>
        <v>Wed 16 Jun 20:00 (iTV)</v>
      </c>
      <c r="AJ11" s="28" t="str">
        <f>INDEX(tblGroupMatch[],MATCH(tblMatchesA[[#This Row],[Match_Code]],tblGroupMatch[Match_Code],0),MATCH("Team A Name",tblGroupMatch[#Headers],0))</f>
        <v>Italy</v>
      </c>
      <c r="AK11" s="28" t="str">
        <f>INDEX(tblGroupMatch[],MATCH(tblMatchesA[[#This Row],[Match_Code]],tblGroupMatch[Match_Code],0),MATCH("Team A Goals",tblGroupMatch[#Headers],0))&amp;IF(AND(tblMatchesA[[#This Row],[Team A Penalties]]&gt;0,tblMatchesA[[#This Row],[Team B Penalties]]&gt;0)," (Pen "&amp;tblMatchesA[[#This Row],[Team A Penalties]]&amp;")","")</f>
        <v/>
      </c>
      <c r="AL11" s="28">
        <f>INDEX(tblGroupMatch[],MATCH(tblMatchesA[[#This Row],[Match_Code]],tblGroupMatch[Match_Code],0),MATCH("Team A Penalties",tblGroupMatch[#Headers],0))</f>
        <v>0</v>
      </c>
      <c r="AM11" s="28">
        <f>INDEX(tblGroupMatch[],MATCH(tblMatchesA[[#This Row],[Match_Code]],tblGroupMatch[Match_Code],0),MATCH("Team B Penalties",tblGroupMatch[#Headers],0))</f>
        <v>0</v>
      </c>
      <c r="AN11" s="28" t="str">
        <f>IF(AND(tblMatchesA[[#This Row],[Team A Penalties]]&gt;0,tblMatchesA[[#This Row],[Team B Penalties]]&gt;0),"(Pen "&amp;tblMatchesA[[#This Row],[Team B Penalties]]&amp;") ","")&amp;INDEX(tblGroupMatch[],MATCH(tblMatchesA[[#This Row],[Match_Code]],tblGroupMatch[Match_Code],0),MATCH("Team B Goals",tblGroupMatch[#Headers],0))</f>
        <v/>
      </c>
      <c r="AO11" s="28" t="str">
        <f>INDEX(tblGroupMatch[],MATCH(tblMatchesA[[#This Row],[Match_Code]],tblGroupMatch[Match_Code],0),MATCH("Team B Name",tblGroupMatch[#Headers],0))</f>
        <v>Switzerland</v>
      </c>
      <c r="AP11" s="28" t="str">
        <f>INDEX(tblGroupMatch[],MATCH(tblMatchesA[[#This Row],[Match_Code]],tblGroupMatch[Match_Code],0),MATCH("Venue",tblGroupMatch[#Headers],0))</f>
        <v>Stadio Olimpico (ITA)</v>
      </c>
      <c r="AQ11" s="28" t="str">
        <f t="shared" si="0"/>
        <v xml:space="preserve"> - </v>
      </c>
      <c r="AS11" s="42"/>
      <c r="AT11" s="64">
        <v>4</v>
      </c>
      <c r="AU11" s="65" t="str">
        <f ca="1"/>
        <v>Wales</v>
      </c>
      <c r="AV11" s="66">
        <f ca="1"/>
        <v>0</v>
      </c>
      <c r="AW11" s="66">
        <f ca="1"/>
        <v>0</v>
      </c>
      <c r="AX11" s="66">
        <f ca="1"/>
        <v>0</v>
      </c>
      <c r="AY11" s="66">
        <f ca="1"/>
        <v>0</v>
      </c>
      <c r="AZ11" s="66">
        <f ca="1"/>
        <v>0</v>
      </c>
      <c r="BA11" s="66">
        <f ca="1"/>
        <v>0</v>
      </c>
      <c r="BB11" s="66">
        <f ca="1"/>
        <v>0</v>
      </c>
      <c r="BC11" s="67">
        <f ca="1"/>
        <v>0</v>
      </c>
      <c r="BD11" s="94" t="str">
        <f ca="1"/>
        <v>Euro Qualifier Rank</v>
      </c>
      <c r="BE11" s="36"/>
      <c r="BG11" s="36"/>
      <c r="BH11" s="89" t="str">
        <v>Sun 20 Jun 17:00 (iTV)</v>
      </c>
      <c r="BI11" s="68" t="str">
        <v>Switzerland</v>
      </c>
      <c r="BJ11" s="69" t="str">
        <v/>
      </c>
      <c r="BK11" s="70" t="str">
        <v xml:space="preserve"> - </v>
      </c>
      <c r="BL11" s="69" t="str">
        <v/>
      </c>
      <c r="BM11" s="71" t="str">
        <v>Turkey</v>
      </c>
      <c r="BN11" s="72" t="str">
        <v>Olympic Stadium (AZE)</v>
      </c>
      <c r="BO11" s="42"/>
    </row>
    <row r="12" spans="2:67" ht="17.25" x14ac:dyDescent="0.3">
      <c r="AH12" s="29" t="s">
        <v>334</v>
      </c>
      <c r="AI12" s="28" t="str">
        <f>TEXT(INDEX(tblGroupMatch[],MATCH(tblMatchesA[[#This Row],[Match_Code]],tblGroupMatch[Match_Code],0),MATCH("Date &amp; Time",tblGroupMatch[#Headers],0)),"ddd dd mmm hh:mm")&amp;" ("&amp;INDEX(tblGroupMatch[],MATCH(tblMatchesA[[#This Row],[Match_Code]],tblGroupMatch[Match_Code],0),MATCH("TV_Station",tblGroupMatch[#Headers],0))&amp;")"</f>
        <v>Sun 20 Jun 17:00 (iTV)</v>
      </c>
      <c r="AJ12" s="28" t="str">
        <f>INDEX(tblGroupMatch[],MATCH(tblMatchesA[[#This Row],[Match_Code]],tblGroupMatch[Match_Code],0),MATCH("Team A Name",tblGroupMatch[#Headers],0))</f>
        <v>Switzerland</v>
      </c>
      <c r="AK12" s="28" t="str">
        <f>INDEX(tblGroupMatch[],MATCH(tblMatchesA[[#This Row],[Match_Code]],tblGroupMatch[Match_Code],0),MATCH("Team A Goals",tblGroupMatch[#Headers],0))&amp;IF(AND(tblMatchesA[[#This Row],[Team A Penalties]]&gt;0,tblMatchesA[[#This Row],[Team B Penalties]]&gt;0)," (Pen "&amp;tblMatchesA[[#This Row],[Team A Penalties]]&amp;")","")</f>
        <v/>
      </c>
      <c r="AL12" s="28">
        <f>INDEX(tblGroupMatch[],MATCH(tblMatchesA[[#This Row],[Match_Code]],tblGroupMatch[Match_Code],0),MATCH("Team A Penalties",tblGroupMatch[#Headers],0))</f>
        <v>0</v>
      </c>
      <c r="AM12" s="28">
        <f>INDEX(tblGroupMatch[],MATCH(tblMatchesA[[#This Row],[Match_Code]],tblGroupMatch[Match_Code],0),MATCH("Team B Penalties",tblGroupMatch[#Headers],0))</f>
        <v>0</v>
      </c>
      <c r="AN12" s="28" t="str">
        <f>IF(AND(tblMatchesA[[#This Row],[Team A Penalties]]&gt;0,tblMatchesA[[#This Row],[Team B Penalties]]&gt;0),"(Pen "&amp;tblMatchesA[[#This Row],[Team B Penalties]]&amp;") ","")&amp;INDEX(tblGroupMatch[],MATCH(tblMatchesA[[#This Row],[Match_Code]],tblGroupMatch[Match_Code],0),MATCH("Team B Goals",tblGroupMatch[#Headers],0))</f>
        <v/>
      </c>
      <c r="AO12" s="28" t="str">
        <f>INDEX(tblGroupMatch[],MATCH(tblMatchesA[[#This Row],[Match_Code]],tblGroupMatch[Match_Code],0),MATCH("Team B Name",tblGroupMatch[#Headers],0))</f>
        <v>Turkey</v>
      </c>
      <c r="AP12" s="28" t="str">
        <f>INDEX(tblGroupMatch[],MATCH(tblMatchesA[[#This Row],[Match_Code]],tblGroupMatch[Match_Code],0),MATCH("Venue",tblGroupMatch[#Headers],0))</f>
        <v>Olympic Stadium (AZE)</v>
      </c>
      <c r="AQ12" s="28" t="str">
        <f t="shared" si="0"/>
        <v xml:space="preserve"> - </v>
      </c>
      <c r="AS12" s="42"/>
      <c r="AT12" s="36"/>
      <c r="AU12" s="36"/>
      <c r="AV12" s="37"/>
      <c r="AW12" s="37"/>
      <c r="AX12" s="37"/>
      <c r="AY12" s="37"/>
      <c r="AZ12" s="37"/>
      <c r="BA12" s="37"/>
      <c r="BB12" s="37"/>
      <c r="BC12" s="37"/>
      <c r="BD12" s="38"/>
      <c r="BE12" s="36"/>
      <c r="BG12" s="36"/>
      <c r="BH12" s="90" t="str">
        <v>Sun 20 Jun 17:00 (iTV)</v>
      </c>
      <c r="BI12" s="73" t="str">
        <v>Italy</v>
      </c>
      <c r="BJ12" s="74" t="str">
        <v/>
      </c>
      <c r="BK12" s="75" t="str">
        <v xml:space="preserve"> - </v>
      </c>
      <c r="BL12" s="74" t="str">
        <v/>
      </c>
      <c r="BM12" s="76" t="str">
        <v>Wales</v>
      </c>
      <c r="BN12" s="77" t="str">
        <v>Stadio Olimpico (ITA)</v>
      </c>
      <c r="BO12" s="42"/>
    </row>
    <row r="13" spans="2:67" x14ac:dyDescent="0.3">
      <c r="AH13" s="29" t="s">
        <v>335</v>
      </c>
      <c r="AI13" s="28" t="str">
        <f>TEXT(INDEX(tblGroupMatch[],MATCH(tblMatchesA[[#This Row],[Match_Code]],tblGroupMatch[Match_Code],0),MATCH("Date &amp; Time",tblGroupMatch[#Headers],0)),"ddd dd mmm hh:mm")&amp;" ("&amp;INDEX(tblGroupMatch[],MATCH(tblMatchesA[[#This Row],[Match_Code]],tblGroupMatch[Match_Code],0),MATCH("TV_Station",tblGroupMatch[#Headers],0))&amp;")"</f>
        <v>Sun 20 Jun 17:00 (iTV)</v>
      </c>
      <c r="AJ13" s="28" t="str">
        <f>INDEX(tblGroupMatch[],MATCH(tblMatchesA[[#This Row],[Match_Code]],tblGroupMatch[Match_Code],0),MATCH("Team A Name",tblGroupMatch[#Headers],0))</f>
        <v>Italy</v>
      </c>
      <c r="AK13" s="28" t="str">
        <f>INDEX(tblGroupMatch[],MATCH(tblMatchesA[[#This Row],[Match_Code]],tblGroupMatch[Match_Code],0),MATCH("Team A Goals",tblGroupMatch[#Headers],0))&amp;IF(AND(tblMatchesA[[#This Row],[Team A Penalties]]&gt;0,tblMatchesA[[#This Row],[Team B Penalties]]&gt;0)," (Pen "&amp;tblMatchesA[[#This Row],[Team A Penalties]]&amp;")","")</f>
        <v/>
      </c>
      <c r="AL13" s="28">
        <f>INDEX(tblGroupMatch[],MATCH(tblMatchesA[[#This Row],[Match_Code]],tblGroupMatch[Match_Code],0),MATCH("Team A Penalties",tblGroupMatch[#Headers],0))</f>
        <v>0</v>
      </c>
      <c r="AM13" s="28">
        <f>INDEX(tblGroupMatch[],MATCH(tblMatchesA[[#This Row],[Match_Code]],tblGroupMatch[Match_Code],0),MATCH("Team B Penalties",tblGroupMatch[#Headers],0))</f>
        <v>0</v>
      </c>
      <c r="AN13" s="28" t="str">
        <f>IF(AND(tblMatchesA[[#This Row],[Team A Penalties]]&gt;0,tblMatchesA[[#This Row],[Team B Penalties]]&gt;0),"(Pen "&amp;tblMatchesA[[#This Row],[Team B Penalties]]&amp;") ","")&amp;INDEX(tblGroupMatch[],MATCH(tblMatchesA[[#This Row],[Match_Code]],tblGroupMatch[Match_Code],0),MATCH("Team B Goals",tblGroupMatch[#Headers],0))</f>
        <v/>
      </c>
      <c r="AO13" s="28" t="str">
        <f>INDEX(tblGroupMatch[],MATCH(tblMatchesA[[#This Row],[Match_Code]],tblGroupMatch[Match_Code],0),MATCH("Team B Name",tblGroupMatch[#Headers],0))</f>
        <v>Wales</v>
      </c>
      <c r="AP13" s="28" t="str">
        <f>INDEX(tblGroupMatch[],MATCH(tblMatchesA[[#This Row],[Match_Code]],tblGroupMatch[Match_Code],0),MATCH("Venue",tblGroupMatch[#Headers],0))</f>
        <v>Stadio Olimpico (ITA)</v>
      </c>
      <c r="AQ13" s="28" t="str">
        <f t="shared" si="0"/>
        <v xml:space="preserve"> - </v>
      </c>
      <c r="AS13" s="42"/>
      <c r="AT13" s="36"/>
      <c r="AU13" s="36"/>
      <c r="AV13" s="37"/>
      <c r="AW13" s="37"/>
      <c r="AX13" s="37"/>
      <c r="AY13" s="37"/>
      <c r="AZ13" s="37"/>
      <c r="BA13" s="37"/>
      <c r="BB13" s="37"/>
      <c r="BC13" s="37"/>
      <c r="BD13" s="38"/>
      <c r="BE13" s="36"/>
      <c r="BG13" s="36"/>
      <c r="BH13" s="39"/>
      <c r="BI13" s="36"/>
      <c r="BJ13" s="37"/>
      <c r="BK13" s="38"/>
      <c r="BL13" s="37"/>
      <c r="BM13" s="40"/>
      <c r="BN13" s="41"/>
      <c r="BO13" s="42"/>
    </row>
    <row r="14" spans="2:67" s="45" customFormat="1" ht="16.5" customHeight="1" x14ac:dyDescent="0.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4"/>
      <c r="AE14" s="44"/>
      <c r="AH14" s="46"/>
      <c r="AI14" s="46"/>
      <c r="AJ14" s="46"/>
      <c r="AK14" s="46"/>
      <c r="AL14" s="46"/>
      <c r="AM14" s="46"/>
      <c r="AN14" s="46"/>
      <c r="AO14" s="46"/>
      <c r="AP14" s="46"/>
      <c r="AQ14" s="46"/>
    </row>
    <row r="15" spans="2:67" s="45" customFormat="1" ht="15" customHeight="1" x14ac:dyDescent="0.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4"/>
      <c r="AE15" s="44"/>
      <c r="AH15" s="46"/>
      <c r="AI15" s="46"/>
      <c r="AJ15" s="46"/>
      <c r="AK15" s="46"/>
      <c r="AL15" s="46"/>
      <c r="AM15" s="46"/>
      <c r="AN15" s="46"/>
      <c r="AO15" s="46"/>
      <c r="AP15" s="46"/>
      <c r="AQ15" s="46"/>
      <c r="AW15" s="53"/>
      <c r="AX15" s="53"/>
      <c r="AY15" s="53"/>
      <c r="AZ15" s="53"/>
      <c r="BA15" s="53"/>
      <c r="BB15" s="53"/>
      <c r="BC15" s="53"/>
    </row>
    <row r="16" spans="2:67" s="45" customFormat="1" x14ac:dyDescent="0.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4"/>
      <c r="AE16" s="44"/>
      <c r="AH16" s="46"/>
      <c r="AI16" s="46"/>
      <c r="AJ16" s="46"/>
      <c r="AK16" s="46"/>
      <c r="AL16" s="46"/>
      <c r="AM16" s="46"/>
      <c r="AN16" s="46"/>
      <c r="AO16" s="46"/>
      <c r="AP16" s="46"/>
      <c r="AQ16" s="46"/>
      <c r="AT16" s="31" t="s">
        <v>428</v>
      </c>
      <c r="AU16" s="32"/>
      <c r="AV16" s="48"/>
      <c r="AW16" s="30" t="s">
        <v>439</v>
      </c>
      <c r="AX16" s="30"/>
      <c r="AY16" s="30"/>
      <c r="AZ16" s="30"/>
      <c r="BA16" s="30"/>
      <c r="BB16" s="30"/>
      <c r="BC16" s="30"/>
    </row>
    <row r="17" spans="2:67" x14ac:dyDescent="0.3">
      <c r="AS17" s="45"/>
      <c r="AT17" s="33" t="s">
        <v>429</v>
      </c>
      <c r="AU17" s="34"/>
      <c r="AV17" s="48"/>
      <c r="AW17" s="35" t="s">
        <v>440</v>
      </c>
      <c r="AX17" s="35"/>
      <c r="AY17" s="35"/>
      <c r="AZ17" s="35"/>
      <c r="BA17" s="35"/>
      <c r="BB17" s="35"/>
      <c r="BC17" s="35"/>
      <c r="BD17" s="45"/>
      <c r="BE17" s="45"/>
      <c r="BF17" s="45"/>
      <c r="BG17" s="45"/>
      <c r="BH17" s="45"/>
      <c r="BI17" s="45"/>
      <c r="BJ17" s="45"/>
      <c r="BK17" s="45"/>
      <c r="BL17" s="45"/>
      <c r="BM17" s="45"/>
      <c r="BN17" s="45"/>
      <c r="BO17" s="45"/>
    </row>
    <row r="18" spans="2:67" x14ac:dyDescent="0.3">
      <c r="B18" s="27" t="s">
        <v>308</v>
      </c>
      <c r="C18" s="27" t="s">
        <v>39</v>
      </c>
      <c r="D18" s="27" t="s">
        <v>318</v>
      </c>
      <c r="E18" s="27" t="s">
        <v>319</v>
      </c>
      <c r="F18" s="27" t="s">
        <v>320</v>
      </c>
      <c r="G18" s="27" t="s">
        <v>321</v>
      </c>
      <c r="H18" s="27" t="s">
        <v>322</v>
      </c>
      <c r="I18" s="27" t="s">
        <v>323</v>
      </c>
      <c r="J18" s="27" t="s">
        <v>324</v>
      </c>
      <c r="K18" s="27" t="s">
        <v>325</v>
      </c>
      <c r="L18" s="27" t="s">
        <v>326</v>
      </c>
      <c r="M18" s="27" t="s">
        <v>327</v>
      </c>
      <c r="N18" s="27" t="s">
        <v>328</v>
      </c>
      <c r="O18" s="27" t="s">
        <v>218</v>
      </c>
      <c r="P18" s="27" t="s">
        <v>306</v>
      </c>
      <c r="Q18" s="27" t="s">
        <v>358</v>
      </c>
      <c r="R18" s="27" t="s">
        <v>357</v>
      </c>
      <c r="S18" s="27" t="s">
        <v>359</v>
      </c>
      <c r="T18" s="27" t="s">
        <v>362</v>
      </c>
      <c r="U18" s="27" t="s">
        <v>361</v>
      </c>
      <c r="V18" s="27" t="s">
        <v>360</v>
      </c>
      <c r="W18" s="27" t="s">
        <v>363</v>
      </c>
      <c r="X18" s="27" t="s">
        <v>364</v>
      </c>
      <c r="Y18" s="27" t="s">
        <v>365</v>
      </c>
      <c r="Z18" s="27" t="s">
        <v>366</v>
      </c>
      <c r="AA18" s="27" t="s">
        <v>367</v>
      </c>
      <c r="AB18" s="27" t="s">
        <v>368</v>
      </c>
      <c r="AC18" s="27" t="s">
        <v>369</v>
      </c>
      <c r="AD18" s="27" t="s">
        <v>370</v>
      </c>
      <c r="AE18" s="27" t="s">
        <v>427</v>
      </c>
      <c r="AH18" s="28" t="s">
        <v>250</v>
      </c>
      <c r="AI18" s="28" t="s">
        <v>189</v>
      </c>
      <c r="AJ18" s="28" t="s">
        <v>178</v>
      </c>
      <c r="AK18" s="28" t="s">
        <v>179</v>
      </c>
      <c r="AL18" s="28" t="s">
        <v>182</v>
      </c>
      <c r="AM18" s="28" t="s">
        <v>187</v>
      </c>
      <c r="AN18" s="28" t="s">
        <v>184</v>
      </c>
      <c r="AO18" s="28" t="s">
        <v>183</v>
      </c>
      <c r="AP18" s="28" t="s">
        <v>177</v>
      </c>
      <c r="AQ18" s="28" t="s">
        <v>336</v>
      </c>
      <c r="AS18" s="45"/>
      <c r="AT18" s="45"/>
      <c r="AU18" s="45"/>
      <c r="AV18" s="48"/>
      <c r="AW18" s="53"/>
      <c r="AX18" s="53"/>
      <c r="AY18" s="53"/>
      <c r="AZ18" s="53"/>
      <c r="BA18" s="53"/>
      <c r="BB18" s="53"/>
      <c r="BC18" s="53"/>
      <c r="BD18" s="45"/>
      <c r="BE18" s="45"/>
      <c r="BF18" s="45"/>
      <c r="BG18" s="45"/>
      <c r="BH18" s="45"/>
      <c r="BI18" s="45"/>
      <c r="BJ18" s="45"/>
      <c r="BK18" s="45"/>
      <c r="BL18" s="45"/>
      <c r="BM18" s="45"/>
      <c r="BN18" s="45"/>
      <c r="BO18" s="45"/>
    </row>
    <row r="19" spans="2:67" x14ac:dyDescent="0.3">
      <c r="B19" s="27" t="s">
        <v>219</v>
      </c>
      <c r="C19" s="27">
        <f ca="1">INDEX(tblGroupTotals[],MATCH(tblGroupB[[#This Row],[Table_Rank_Code]],tblGroupTotals[Table_Rank_Code],0),MATCH("Team_Number",tblGroupTotals[#Headers],0))</f>
        <v>7</v>
      </c>
      <c r="D19" s="27">
        <v>1</v>
      </c>
      <c r="E19" s="27" t="str">
        <f ca="1">INDEX(lkupTeam[],MATCH(tblGroupB[[#This Row],[Team_Number]],lkupTeam[Team_Number],0),MATCH("Team",lkupTeam[#Headers],0))</f>
        <v>Belgium</v>
      </c>
      <c r="F19" s="27">
        <f ca="1">INDEX(tblGroupTotals[],MATCH(tblGroupB[[#This Row],[Table_Rank_Code]],tblGroupTotals[Table_Rank_Code],0),MATCH("Total_Games",tblGroupTotals[#Headers],0))</f>
        <v>0</v>
      </c>
      <c r="G19" s="27">
        <f ca="1">INDEX(tblGroupTotals[],MATCH(tblGroupB[[#This Row],[Table_Rank_Code]],tblGroupTotals[Table_Rank_Code],0),MATCH("Total_Wins",tblGroupTotals[#Headers],0))</f>
        <v>0</v>
      </c>
      <c r="H19" s="27">
        <f ca="1">INDEX(tblGroupTotals[],MATCH(tblGroupB[[#This Row],[Table_Rank_Code]],tblGroupTotals[Table_Rank_Code],0),MATCH("Total_Draws",tblGroupTotals[#Headers],0))</f>
        <v>0</v>
      </c>
      <c r="I19" s="27">
        <f ca="1">INDEX(tblGroupTotals[],MATCH(tblGroupB[[#This Row],[Table_Rank_Code]],tblGroupTotals[Table_Rank_Code],0),MATCH("Total_Loses",tblGroupTotals[#Headers],0))</f>
        <v>0</v>
      </c>
      <c r="J19" s="27">
        <f ca="1">INDEX(tblGroupTotals[],MATCH(tblGroupB[[#This Row],[Table_Rank_Code]],tblGroupTotals[Table_Rank_Code],0),MATCH("Total_Goals_For",tblGroupTotals[#Headers],0))</f>
        <v>0</v>
      </c>
      <c r="K19" s="27">
        <f ca="1">INDEX(tblGroupTotals[],MATCH(tblGroupB[[#This Row],[Table_Rank_Code]],tblGroupTotals[Table_Rank_Code],0),MATCH("Total_Goals_Against",tblGroupTotals[#Headers],0))</f>
        <v>0</v>
      </c>
      <c r="L19" s="27">
        <f ca="1">INDEX(tblGroupTotals[],MATCH(tblGroupB[[#This Row],[Table_Rank_Code]],tblGroupTotals[Table_Rank_Code],0),MATCH("Goal_Difference",tblGroupTotals[#Headers],0))</f>
        <v>0</v>
      </c>
      <c r="M19" s="27">
        <f ca="1">INDEX(tblGroupTotals[],MATCH(tblGroupB[[#This Row],[Table_Rank_Code]],tblGroupTotals[Table_Rank_Code],0),MATCH("Total_Points",tblGroupTotals[#Headers],0))</f>
        <v>0</v>
      </c>
      <c r="N19" s="27" t="str">
        <f ca="1">IF(INDEX(tblGroupTotals[],MATCH(tblGroupB[[#This Row],[Table_Rank_Code]],tblGroupTotals[Table_Rank_Code],0),MATCH("Group_Points_TieBreak_Rank_1",tblGroupTotals[#Headers],0))&lt;&gt;4,INDEX(tblGroupTotals[],MATCH(tblGroupB[[#This Row],[Table_Rank_Code]],tblGroupTotals[Table_Rank_Code],0),MATCH("Group_Points_TieBreak_Rank_1",tblGroupTotals[#Headers],0)),"")</f>
        <v/>
      </c>
      <c r="O19" s="27">
        <f ca="1">INDEX(tblGroupTotals[],MATCH(tblGroupB[[#This Row],[Table_Rank_Code]],tblGroupTotals[Table_Rank_Code],0),MATCH("Total_Diciplinary_Points",tblGroupTotals[#Headers],0))</f>
        <v>0</v>
      </c>
      <c r="P19" s="27">
        <f ca="1">INDEX(tblGroupTotals[],MATCH(tblGroupB[[#This Row],[Table_Rank_Code]],tblGroupTotals[Table_Rank_Code],0),MATCH("Total_Group_Rank_Value",tblGroupTotals[#Headers],0))</f>
        <v>144111111</v>
      </c>
      <c r="Q19" s="27" t="str">
        <f ca="1">LEFT(tblGroupB[[#This Row],[Total_Group_Rank_Value]],1)</f>
        <v>1</v>
      </c>
      <c r="R19" s="27" t="str">
        <f ca="1">LEFT(tblGroupB[[#This Row],[Total_Group_Rank_Value]],3)</f>
        <v>144</v>
      </c>
      <c r="S19" s="27" t="str">
        <f ca="1">LEFT(tblGroupB[[#This Row],[Total_Group_Rank_Value]],5)</f>
        <v>14411</v>
      </c>
      <c r="T19" s="27" t="str">
        <f ca="1">LEFT(tblGroupB[[#This Row],[Total_Group_Rank_Value]],6)</f>
        <v>144111</v>
      </c>
      <c r="U19" s="27" t="str">
        <f ca="1">LEFT(tblGroupB[[#This Row],[Total_Group_Rank_Value]],7)</f>
        <v>1441111</v>
      </c>
      <c r="V19" s="27" t="str">
        <f ca="1">LEFT(tblGroupB[[#This Row],[Total_Group_Rank_Value]],8)</f>
        <v>14411111</v>
      </c>
      <c r="W19" s="27" t="b">
        <f ca="1">COUNTIF(tblGroupB[Group_Point_Rank_Value],tblGroupB[[#This Row],[Group_Point_Rank_Value]])&gt;1</f>
        <v>1</v>
      </c>
      <c r="X19" s="27" t="b">
        <f ca="1">COUNTIF(tblGroupB[Head_To_Head_Rank_Value],tblGroupB[[#This Row],[Head_To_Head_Rank_Value]])&gt;1</f>
        <v>1</v>
      </c>
      <c r="Y19" s="27" t="b">
        <f ca="1">COUNTIF(tblGroupB[Group_Goals_Rank_Value],tblGroupB[[#This Row],[Group_Goals_Rank_Value]])&gt;1</f>
        <v>1</v>
      </c>
      <c r="Z19" s="27" t="b">
        <f ca="1">COUNTIF(tblGroupB[Wins_Rank_Value],tblGroupB[[#This Row],[Wins_Rank_Value]])&gt;1</f>
        <v>1</v>
      </c>
      <c r="AA19" s="27" t="b">
        <f ca="1">COUNTIF(tblGroupB[Penalty_Rank_Value],tblGroupB[[#This Row],[Penalty_Rank_Value]])&gt;1</f>
        <v>1</v>
      </c>
      <c r="AB19" s="27" t="b">
        <f ca="1">COUNTIF(tblGroupB[Diciplinary_Rank_Value],tblGroupB[[#This Row],[Diciplinary_Rank_Value]])&gt;1</f>
        <v>1</v>
      </c>
      <c r="AC19" s="27" t="b">
        <f ca="1">COUNTIF(tblGroupB[Total_Group_Rank_Value],tblGroupB[[#This Row],[Total_Group_Rank_Value]])&gt;1</f>
        <v>0</v>
      </c>
      <c r="AD19" s="27" t="str">
        <f ca="1">IF(tblGroupB[[#This Row],[Points_Match]],IF(tblGroupB[[#This Row],[H2H_Match]],IF(tblGroupB[[#This Row],[Goals_Match]],IF(tblGroupB[[#This Row],[Wins_Match]],IF(tblGroupB[[#This Row],[Penalty_Match]],IF(tblGroupB[[#This Row],[Disciplinary_Match]],"Euro Qualifier Rank","Disciplinary Points ("&amp;tblGroupB[[#This Row],[Total_Diciplinary_Points]]&amp;")"),"Penalties"),"Wins ("&amp;tblGroupB[[#This Row],[Table_Won]]&amp;")"),""),"Head 2 Head ("&amp;tblGroupB[[#This Row],[Table_Head_to_Head_Rank]]&amp;")"),"")</f>
        <v>Euro Qualifier Rank</v>
      </c>
      <c r="AE19" s="27" t="b">
        <f ca="1">AND(tblGroupB[[#This Row],[Table_Position]]=3,COUNTIFS(tblGroupThirdPlace[Team_Number],tblGroupB[[#This Row],[Team_Number]],tblGroupThirdPlace[Table_Position],"&lt;5")&gt;0)</f>
        <v>0</v>
      </c>
      <c r="AH19" s="28" t="s">
        <v>339</v>
      </c>
      <c r="AI19" s="28" t="str">
        <f>TEXT(INDEX(tblGroupMatch[],MATCH(tblMatchesB[[#This Row],[Match_Code]],tblGroupMatch[Match_Code],0),MATCH("Date &amp; Time",tblGroupMatch[#Headers],0)),"ddd dd mmm hh:mm")&amp;" ("&amp;INDEX(tblGroupMatch[],MATCH(tblMatchesB[[#This Row],[Match_Code]],tblGroupMatch[Match_Code],0),MATCH("TV_Station",tblGroupMatch[#Headers],0))&amp;")"</f>
        <v>Sat 12 Jun 17:00 (BBC)</v>
      </c>
      <c r="AJ19" s="28" t="str">
        <f>INDEX(tblGroupMatch[],MATCH(tblMatchesB[[#This Row],[Match_Code]],tblGroupMatch[Match_Code],0),MATCH("Team A Name",tblGroupMatch[#Headers],0))</f>
        <v>Denmark</v>
      </c>
      <c r="AK19" s="28" t="str">
        <f>INDEX(tblGroupMatch[],MATCH(tblMatchesB[[#This Row],[Match_Code]],tblGroupMatch[Match_Code],0),MATCH("Team A Goals",tblGroupMatch[#Headers],0))&amp;IF(AND(tblMatchesB[[#This Row],[Team A Penalties]]&gt;0,tblMatchesB[[#This Row],[Team B Penalties]]&gt;0)," (Pen "&amp;tblMatchesB[[#This Row],[Team A Penalties]]&amp;")","")</f>
        <v/>
      </c>
      <c r="AL19" s="28">
        <f>INDEX(tblGroupMatch[],MATCH(tblMatchesB[[#This Row],[Match_Code]],tblGroupMatch[Match_Code],0),MATCH("Team A Penalties",tblGroupMatch[#Headers],0))</f>
        <v>0</v>
      </c>
      <c r="AM19" s="28">
        <f>INDEX(tblGroupMatch[],MATCH(tblMatchesB[[#This Row],[Match_Code]],tblGroupMatch[Match_Code],0),MATCH("Team B Penalties",tblGroupMatch[#Headers],0))</f>
        <v>0</v>
      </c>
      <c r="AN19" s="28" t="str">
        <f>IF(AND(tblMatchesB[[#This Row],[Team A Penalties]]&gt;0,tblMatchesB[[#This Row],[Team B Penalties]]&gt;0),"(Pen "&amp;tblMatchesB[[#This Row],[Team B Penalties]]&amp;") ","")&amp;INDEX(tblGroupMatch[],MATCH(tblMatchesB[[#This Row],[Match_Code]],tblGroupMatch[Match_Code],0),MATCH("Team B Goals",tblGroupMatch[#Headers],0))</f>
        <v/>
      </c>
      <c r="AO19" s="28" t="str">
        <f>INDEX(tblGroupMatch[],MATCH(tblMatchesB[[#This Row],[Match_Code]],tblGroupMatch[Match_Code],0),MATCH("Team B Name",tblGroupMatch[#Headers],0))</f>
        <v>Finland</v>
      </c>
      <c r="AP19" s="28" t="str">
        <f>INDEX(tblGroupMatch[],MATCH(tblMatchesB[[#This Row],[Match_Code]],tblGroupMatch[Match_Code],0),MATCH("Venue",tblGroupMatch[#Headers],0))</f>
        <v>Parken Stadium (DEN)</v>
      </c>
      <c r="AQ19" s="28" t="str">
        <f>" - "</f>
        <v xml:space="preserve"> - </v>
      </c>
      <c r="AS19" s="45"/>
      <c r="AT19" s="45"/>
      <c r="AU19" s="45"/>
      <c r="AV19" s="45"/>
      <c r="AW19" s="45"/>
      <c r="AX19" s="45"/>
      <c r="AY19" s="45"/>
      <c r="AZ19" s="45"/>
      <c r="BA19" s="45"/>
      <c r="BB19" s="45"/>
      <c r="BC19" s="45"/>
      <c r="BD19" s="45"/>
      <c r="BE19" s="45"/>
      <c r="BF19" s="45"/>
      <c r="BG19" s="45"/>
      <c r="BH19" s="45"/>
      <c r="BI19" s="45"/>
      <c r="BJ19" s="45"/>
      <c r="BK19" s="45"/>
      <c r="BL19" s="45"/>
      <c r="BM19" s="45"/>
      <c r="BN19" s="45"/>
      <c r="BO19" s="45"/>
    </row>
    <row r="20" spans="2:67" x14ac:dyDescent="0.3">
      <c r="B20" s="27" t="s">
        <v>220</v>
      </c>
      <c r="C20" s="27">
        <f ca="1">INDEX(tblGroupTotals[],MATCH(tblGroupB[[#This Row],[Table_Rank_Code]],tblGroupTotals[Table_Rank_Code],0),MATCH("Team_Number",tblGroupTotals[#Headers],0))</f>
        <v>8</v>
      </c>
      <c r="D20" s="27">
        <v>2</v>
      </c>
      <c r="E20" s="27" t="str">
        <f ca="1">INDEX(lkupTeam[],MATCH(tblGroupB[[#This Row],[Team_Number]],lkupTeam[Team_Number],0),MATCH("Team",lkupTeam[#Headers],0))</f>
        <v>Russia</v>
      </c>
      <c r="F20" s="27">
        <f ca="1">INDEX(tblGroupTotals[],MATCH(tblGroupB[[#This Row],[Table_Rank_Code]],tblGroupTotals[Table_Rank_Code],0),MATCH("Total_Games",tblGroupTotals[#Headers],0))</f>
        <v>0</v>
      </c>
      <c r="G20" s="27">
        <f ca="1">INDEX(tblGroupTotals[],MATCH(tblGroupB[[#This Row],[Table_Rank_Code]],tblGroupTotals[Table_Rank_Code],0),MATCH("Total_Wins",tblGroupTotals[#Headers],0))</f>
        <v>0</v>
      </c>
      <c r="H20" s="27">
        <f ca="1">INDEX(tblGroupTotals[],MATCH(tblGroupB[[#This Row],[Table_Rank_Code]],tblGroupTotals[Table_Rank_Code],0),MATCH("Total_Draws",tblGroupTotals[#Headers],0))</f>
        <v>0</v>
      </c>
      <c r="I20" s="27">
        <f ca="1">INDEX(tblGroupTotals[],MATCH(tblGroupB[[#This Row],[Table_Rank_Code]],tblGroupTotals[Table_Rank_Code],0),MATCH("Total_Loses",tblGroupTotals[#Headers],0))</f>
        <v>0</v>
      </c>
      <c r="J20" s="27">
        <f ca="1">INDEX(tblGroupTotals[],MATCH(tblGroupB[[#This Row],[Table_Rank_Code]],tblGroupTotals[Table_Rank_Code],0),MATCH("Total_Goals_For",tblGroupTotals[#Headers],0))</f>
        <v>0</v>
      </c>
      <c r="K20" s="27">
        <f ca="1">INDEX(tblGroupTotals[],MATCH(tblGroupB[[#This Row],[Table_Rank_Code]],tblGroupTotals[Table_Rank_Code],0),MATCH("Total_Goals_Against",tblGroupTotals[#Headers],0))</f>
        <v>0</v>
      </c>
      <c r="L20" s="27">
        <f ca="1">INDEX(tblGroupTotals[],MATCH(tblGroupB[[#This Row],[Table_Rank_Code]],tblGroupTotals[Table_Rank_Code],0),MATCH("Goal_Difference",tblGroupTotals[#Headers],0))</f>
        <v>0</v>
      </c>
      <c r="M20" s="27">
        <f ca="1">INDEX(tblGroupTotals[],MATCH(tblGroupB[[#This Row],[Table_Rank_Code]],tblGroupTotals[Table_Rank_Code],0),MATCH("Total_Points",tblGroupTotals[#Headers],0))</f>
        <v>0</v>
      </c>
      <c r="N20" s="27" t="str">
        <f ca="1">IF(INDEX(tblGroupTotals[],MATCH(tblGroupB[[#This Row],[Table_Rank_Code]],tblGroupTotals[Table_Rank_Code],0),MATCH("Group_Points_TieBreak_Rank_1",tblGroupTotals[#Headers],0))&lt;&gt;4,INDEX(tblGroupTotals[],MATCH(tblGroupB[[#This Row],[Table_Rank_Code]],tblGroupTotals[Table_Rank_Code],0),MATCH("Group_Points_TieBreak_Rank_1",tblGroupTotals[#Headers],0)),"")</f>
        <v/>
      </c>
      <c r="O20" s="27">
        <f ca="1">INDEX(tblGroupTotals[],MATCH(tblGroupB[[#This Row],[Table_Rank_Code]],tblGroupTotals[Table_Rank_Code],0),MATCH("Total_Diciplinary_Points",tblGroupTotals[#Headers],0))</f>
        <v>0</v>
      </c>
      <c r="P20" s="27">
        <f ca="1">INDEX(tblGroupTotals[],MATCH(tblGroupB[[#This Row],[Table_Rank_Code]],tblGroupTotals[Table_Rank_Code],0),MATCH("Total_Group_Rank_Value",tblGroupTotals[#Headers],0))</f>
        <v>144111112</v>
      </c>
      <c r="Q20" s="27" t="str">
        <f ca="1">LEFT(tblGroupB[[#This Row],[Total_Group_Rank_Value]],1)</f>
        <v>1</v>
      </c>
      <c r="R20" s="27" t="str">
        <f ca="1">LEFT(tblGroupB[[#This Row],[Total_Group_Rank_Value]],3)</f>
        <v>144</v>
      </c>
      <c r="S20" s="27" t="str">
        <f ca="1">LEFT(tblGroupB[[#This Row],[Total_Group_Rank_Value]],5)</f>
        <v>14411</v>
      </c>
      <c r="T20" s="27" t="str">
        <f ca="1">LEFT(tblGroupB[[#This Row],[Total_Group_Rank_Value]],6)</f>
        <v>144111</v>
      </c>
      <c r="U20" s="27" t="str">
        <f ca="1">LEFT(tblGroupB[[#This Row],[Total_Group_Rank_Value]],7)</f>
        <v>1441111</v>
      </c>
      <c r="V20" s="27" t="str">
        <f ca="1">LEFT(tblGroupB[[#This Row],[Total_Group_Rank_Value]],8)</f>
        <v>14411111</v>
      </c>
      <c r="W20" s="27" t="b">
        <f ca="1">COUNTIF(tblGroupB[Group_Point_Rank_Value],tblGroupB[[#This Row],[Group_Point_Rank_Value]])&gt;1</f>
        <v>1</v>
      </c>
      <c r="X20" s="27" t="b">
        <f ca="1">COUNTIF(tblGroupB[Head_To_Head_Rank_Value],tblGroupB[[#This Row],[Head_To_Head_Rank_Value]])&gt;1</f>
        <v>1</v>
      </c>
      <c r="Y20" s="27" t="b">
        <f ca="1">COUNTIF(tblGroupB[Group_Goals_Rank_Value],tblGroupB[[#This Row],[Group_Goals_Rank_Value]])&gt;1</f>
        <v>1</v>
      </c>
      <c r="Z20" s="27" t="b">
        <f ca="1">COUNTIF(tblGroupB[Wins_Rank_Value],tblGroupB[[#This Row],[Wins_Rank_Value]])&gt;1</f>
        <v>1</v>
      </c>
      <c r="AA20" s="27" t="b">
        <f ca="1">COUNTIF(tblGroupB[Penalty_Rank_Value],tblGroupB[[#This Row],[Penalty_Rank_Value]])&gt;1</f>
        <v>1</v>
      </c>
      <c r="AB20" s="27" t="b">
        <f ca="1">COUNTIF(tblGroupB[Diciplinary_Rank_Value],tblGroupB[[#This Row],[Diciplinary_Rank_Value]])&gt;1</f>
        <v>1</v>
      </c>
      <c r="AC20" s="27" t="b">
        <f ca="1">COUNTIF(tblGroupB[Total_Group_Rank_Value],tblGroupB[[#This Row],[Total_Group_Rank_Value]])&gt;1</f>
        <v>0</v>
      </c>
      <c r="AD20" s="27" t="str">
        <f ca="1">IF(tblGroupB[[#This Row],[Points_Match]],IF(tblGroupB[[#This Row],[H2H_Match]],IF(tblGroupB[[#This Row],[Goals_Match]],IF(tblGroupB[[#This Row],[Wins_Match]],IF(tblGroupB[[#This Row],[Penalty_Match]],IF(tblGroupB[[#This Row],[Disciplinary_Match]],"Euro Qualifier Rank","Disciplinary Points ("&amp;tblGroupB[[#This Row],[Total_Diciplinary_Points]]&amp;")"),"Penalties"),"Wins ("&amp;tblGroupB[[#This Row],[Table_Won]]&amp;")"),""),"Head 2 Head ("&amp;tblGroupB[[#This Row],[Table_Head_to_Head_Rank]]&amp;")"),"")</f>
        <v>Euro Qualifier Rank</v>
      </c>
      <c r="AE20" s="27" t="b">
        <f ca="1">AND(tblGroupB[[#This Row],[Table_Position]]=3,COUNTIFS(tblGroupThirdPlace[Team_Number],tblGroupB[[#This Row],[Team_Number]],tblGroupThirdPlace[Table_Position],"&lt;5")&gt;0)</f>
        <v>0</v>
      </c>
      <c r="AH20" s="28" t="s">
        <v>340</v>
      </c>
      <c r="AI20" s="28" t="str">
        <f>TEXT(INDEX(tblGroupMatch[],MATCH(tblMatchesB[[#This Row],[Match_Code]],tblGroupMatch[Match_Code],0),MATCH("Date &amp; Time",tblGroupMatch[#Headers],0)),"ddd dd mmm hh:mm")&amp;" ("&amp;INDEX(tblGroupMatch[],MATCH(tblMatchesB[[#This Row],[Match_Code]],tblGroupMatch[Match_Code],0),MATCH("TV_Station",tblGroupMatch[#Headers],0))&amp;")"</f>
        <v>Sat 12 Jun 20:00 (iTV)</v>
      </c>
      <c r="AJ20" s="28" t="str">
        <f>INDEX(tblGroupMatch[],MATCH(tblMatchesB[[#This Row],[Match_Code]],tblGroupMatch[Match_Code],0),MATCH("Team A Name",tblGroupMatch[#Headers],0))</f>
        <v>Belgium</v>
      </c>
      <c r="AK20" s="28" t="str">
        <f>INDEX(tblGroupMatch[],MATCH(tblMatchesB[[#This Row],[Match_Code]],tblGroupMatch[Match_Code],0),MATCH("Team A Goals",tblGroupMatch[#Headers],0))&amp;IF(AND(tblMatchesB[[#This Row],[Team A Penalties]]&gt;0,tblMatchesB[[#This Row],[Team B Penalties]]&gt;0)," (Pen "&amp;tblMatchesB[[#This Row],[Team A Penalties]]&amp;")","")</f>
        <v/>
      </c>
      <c r="AL20" s="28">
        <f>INDEX(tblGroupMatch[],MATCH(tblMatchesB[[#This Row],[Match_Code]],tblGroupMatch[Match_Code],0),MATCH("Team A Penalties",tblGroupMatch[#Headers],0))</f>
        <v>0</v>
      </c>
      <c r="AM20" s="28">
        <f>INDEX(tblGroupMatch[],MATCH(tblMatchesB[[#This Row],[Match_Code]],tblGroupMatch[Match_Code],0),MATCH("Team B Penalties",tblGroupMatch[#Headers],0))</f>
        <v>0</v>
      </c>
      <c r="AN20" s="28" t="str">
        <f>IF(AND(tblMatchesB[[#This Row],[Team A Penalties]]&gt;0,tblMatchesB[[#This Row],[Team B Penalties]]&gt;0),"(Pen "&amp;tblMatchesB[[#This Row],[Team B Penalties]]&amp;") ","")&amp;INDEX(tblGroupMatch[],MATCH(tblMatchesB[[#This Row],[Match_Code]],tblGroupMatch[Match_Code],0),MATCH("Team B Goals",tblGroupMatch[#Headers],0))</f>
        <v/>
      </c>
      <c r="AO20" s="28" t="str">
        <f>INDEX(tblGroupMatch[],MATCH(tblMatchesB[[#This Row],[Match_Code]],tblGroupMatch[Match_Code],0),MATCH("Team B Name",tblGroupMatch[#Headers],0))</f>
        <v>Russia</v>
      </c>
      <c r="AP20" s="28" t="str">
        <f>INDEX(tblGroupMatch[],MATCH(tblMatchesB[[#This Row],[Match_Code]],tblGroupMatch[Match_Code],0),MATCH("Venue",tblGroupMatch[#Headers],0))</f>
        <v>Krestovsky Stadium (RUS)</v>
      </c>
      <c r="AQ20" s="28" t="str">
        <f t="shared" ref="AQ20:AQ24" si="1">" - "</f>
        <v xml:space="preserve"> - </v>
      </c>
      <c r="AS20" s="45"/>
      <c r="AT20" s="45"/>
      <c r="AU20" s="45"/>
      <c r="AV20" s="45"/>
      <c r="AW20" s="45"/>
      <c r="AX20" s="45"/>
      <c r="AY20" s="45"/>
      <c r="AZ20" s="45"/>
      <c r="BA20" s="45"/>
      <c r="BB20" s="45"/>
      <c r="BC20" s="45"/>
      <c r="BD20" s="45"/>
      <c r="BE20" s="45"/>
      <c r="BF20" s="45"/>
      <c r="BG20" s="45"/>
      <c r="BH20" s="45"/>
      <c r="BI20" s="45"/>
      <c r="BJ20" s="45"/>
      <c r="BK20" s="45"/>
      <c r="BL20" s="45"/>
      <c r="BM20" s="45"/>
      <c r="BN20" s="45"/>
      <c r="BO20" s="45"/>
    </row>
    <row r="21" spans="2:67" x14ac:dyDescent="0.3">
      <c r="B21" s="27" t="s">
        <v>221</v>
      </c>
      <c r="C21" s="27">
        <f ca="1">INDEX(tblGroupTotals[],MATCH(tblGroupB[[#This Row],[Table_Rank_Code]],tblGroupTotals[Table_Rank_Code],0),MATCH("Team_Number",tblGroupTotals[#Headers],0))</f>
        <v>5</v>
      </c>
      <c r="D21" s="27">
        <v>3</v>
      </c>
      <c r="E21" s="27" t="str">
        <f ca="1">INDEX(lkupTeam[],MATCH(tblGroupB[[#This Row],[Team_Number]],lkupTeam[Team_Number],0),MATCH("Team",lkupTeam[#Headers],0))</f>
        <v>Denmark</v>
      </c>
      <c r="F21" s="27">
        <f ca="1">INDEX(tblGroupTotals[],MATCH(tblGroupB[[#This Row],[Table_Rank_Code]],tblGroupTotals[Table_Rank_Code],0),MATCH("Total_Games",tblGroupTotals[#Headers],0))</f>
        <v>0</v>
      </c>
      <c r="G21" s="27">
        <f ca="1">INDEX(tblGroupTotals[],MATCH(tblGroupB[[#This Row],[Table_Rank_Code]],tblGroupTotals[Table_Rank_Code],0),MATCH("Total_Wins",tblGroupTotals[#Headers],0))</f>
        <v>0</v>
      </c>
      <c r="H21" s="27">
        <f ca="1">INDEX(tblGroupTotals[],MATCH(tblGroupB[[#This Row],[Table_Rank_Code]],tblGroupTotals[Table_Rank_Code],0),MATCH("Total_Draws",tblGroupTotals[#Headers],0))</f>
        <v>0</v>
      </c>
      <c r="I21" s="27">
        <f ca="1">INDEX(tblGroupTotals[],MATCH(tblGroupB[[#This Row],[Table_Rank_Code]],tblGroupTotals[Table_Rank_Code],0),MATCH("Total_Loses",tblGroupTotals[#Headers],0))</f>
        <v>0</v>
      </c>
      <c r="J21" s="27">
        <f ca="1">INDEX(tblGroupTotals[],MATCH(tblGroupB[[#This Row],[Table_Rank_Code]],tblGroupTotals[Table_Rank_Code],0),MATCH("Total_Goals_For",tblGroupTotals[#Headers],0))</f>
        <v>0</v>
      </c>
      <c r="K21" s="27">
        <f ca="1">INDEX(tblGroupTotals[],MATCH(tblGroupB[[#This Row],[Table_Rank_Code]],tblGroupTotals[Table_Rank_Code],0),MATCH("Total_Goals_Against",tblGroupTotals[#Headers],0))</f>
        <v>0</v>
      </c>
      <c r="L21" s="27">
        <f ca="1">INDEX(tblGroupTotals[],MATCH(tblGroupB[[#This Row],[Table_Rank_Code]],tblGroupTotals[Table_Rank_Code],0),MATCH("Goal_Difference",tblGroupTotals[#Headers],0))</f>
        <v>0</v>
      </c>
      <c r="M21" s="27">
        <f ca="1">INDEX(tblGroupTotals[],MATCH(tblGroupB[[#This Row],[Table_Rank_Code]],tblGroupTotals[Table_Rank_Code],0),MATCH("Total_Points",tblGroupTotals[#Headers],0))</f>
        <v>0</v>
      </c>
      <c r="N21" s="27" t="str">
        <f ca="1">IF(INDEX(tblGroupTotals[],MATCH(tblGroupB[[#This Row],[Table_Rank_Code]],tblGroupTotals[Table_Rank_Code],0),MATCH("Group_Points_TieBreak_Rank_1",tblGroupTotals[#Headers],0))&lt;&gt;4,INDEX(tblGroupTotals[],MATCH(tblGroupB[[#This Row],[Table_Rank_Code]],tblGroupTotals[Table_Rank_Code],0),MATCH("Group_Points_TieBreak_Rank_1",tblGroupTotals[#Headers],0)),"")</f>
        <v/>
      </c>
      <c r="O21" s="27">
        <f ca="1">INDEX(tblGroupTotals[],MATCH(tblGroupB[[#This Row],[Table_Rank_Code]],tblGroupTotals[Table_Rank_Code],0),MATCH("Total_Diciplinary_Points",tblGroupTotals[#Headers],0))</f>
        <v>0</v>
      </c>
      <c r="P21" s="27">
        <f ca="1">INDEX(tblGroupTotals[],MATCH(tblGroupB[[#This Row],[Table_Rank_Code]],tblGroupTotals[Table_Rank_Code],0),MATCH("Total_Group_Rank_Value",tblGroupTotals[#Headers],0))</f>
        <v>144111113</v>
      </c>
      <c r="Q21" s="27" t="str">
        <f ca="1">LEFT(tblGroupB[[#This Row],[Total_Group_Rank_Value]],1)</f>
        <v>1</v>
      </c>
      <c r="R21" s="27" t="str">
        <f ca="1">LEFT(tblGroupB[[#This Row],[Total_Group_Rank_Value]],3)</f>
        <v>144</v>
      </c>
      <c r="S21" s="27" t="str">
        <f ca="1">LEFT(tblGroupB[[#This Row],[Total_Group_Rank_Value]],5)</f>
        <v>14411</v>
      </c>
      <c r="T21" s="27" t="str">
        <f ca="1">LEFT(tblGroupB[[#This Row],[Total_Group_Rank_Value]],6)</f>
        <v>144111</v>
      </c>
      <c r="U21" s="27" t="str">
        <f ca="1">LEFT(tblGroupB[[#This Row],[Total_Group_Rank_Value]],7)</f>
        <v>1441111</v>
      </c>
      <c r="V21" s="27" t="str">
        <f ca="1">LEFT(tblGroupB[[#This Row],[Total_Group_Rank_Value]],8)</f>
        <v>14411111</v>
      </c>
      <c r="W21" s="27" t="b">
        <f ca="1">COUNTIF(tblGroupB[Group_Point_Rank_Value],tblGroupB[[#This Row],[Group_Point_Rank_Value]])&gt;1</f>
        <v>1</v>
      </c>
      <c r="X21" s="27" t="b">
        <f ca="1">COUNTIF(tblGroupB[Head_To_Head_Rank_Value],tblGroupB[[#This Row],[Head_To_Head_Rank_Value]])&gt;1</f>
        <v>1</v>
      </c>
      <c r="Y21" s="27" t="b">
        <f ca="1">COUNTIF(tblGroupB[Group_Goals_Rank_Value],tblGroupB[[#This Row],[Group_Goals_Rank_Value]])&gt;1</f>
        <v>1</v>
      </c>
      <c r="Z21" s="27" t="b">
        <f ca="1">COUNTIF(tblGroupB[Wins_Rank_Value],tblGroupB[[#This Row],[Wins_Rank_Value]])&gt;1</f>
        <v>1</v>
      </c>
      <c r="AA21" s="27" t="b">
        <f ca="1">COUNTIF(tblGroupB[Penalty_Rank_Value],tblGroupB[[#This Row],[Penalty_Rank_Value]])&gt;1</f>
        <v>1</v>
      </c>
      <c r="AB21" s="27" t="b">
        <f ca="1">COUNTIF(tblGroupB[Diciplinary_Rank_Value],tblGroupB[[#This Row],[Diciplinary_Rank_Value]])&gt;1</f>
        <v>1</v>
      </c>
      <c r="AC21" s="27" t="b">
        <f ca="1">COUNTIF(tblGroupB[Total_Group_Rank_Value],tblGroupB[[#This Row],[Total_Group_Rank_Value]])&gt;1</f>
        <v>0</v>
      </c>
      <c r="AD21" s="27" t="str">
        <f ca="1">IF(tblGroupB[[#This Row],[Points_Match]],IF(tblGroupB[[#This Row],[H2H_Match]],IF(tblGroupB[[#This Row],[Goals_Match]],IF(tblGroupB[[#This Row],[Wins_Match]],IF(tblGroupB[[#This Row],[Penalty_Match]],IF(tblGroupB[[#This Row],[Disciplinary_Match]],"Euro Qualifier Rank","Disciplinary Points ("&amp;tblGroupB[[#This Row],[Total_Diciplinary_Points]]&amp;")"),"Penalties"),"Wins ("&amp;tblGroupB[[#This Row],[Table_Won]]&amp;")"),""),"Head 2 Head ("&amp;tblGroupB[[#This Row],[Table_Head_to_Head_Rank]]&amp;")"),"")</f>
        <v>Euro Qualifier Rank</v>
      </c>
      <c r="AE21" s="27" t="b">
        <f ca="1">AND(tblGroupB[[#This Row],[Table_Position]]=3,COUNTIFS(tblGroupThirdPlace[Team_Number],tblGroupB[[#This Row],[Team_Number]],tblGroupThirdPlace[Table_Position],"&lt;5")&gt;0)</f>
        <v>1</v>
      </c>
      <c r="AH21" s="28" t="s">
        <v>341</v>
      </c>
      <c r="AI21" s="28" t="str">
        <f>TEXT(INDEX(tblGroupMatch[],MATCH(tblMatchesB[[#This Row],[Match_Code]],tblGroupMatch[Match_Code],0),MATCH("Date &amp; Time",tblGroupMatch[#Headers],0)),"ddd dd mmm hh:mm")&amp;" ("&amp;INDEX(tblGroupMatch[],MATCH(tblMatchesB[[#This Row],[Match_Code]],tblGroupMatch[Match_Code],0),MATCH("TV_Station",tblGroupMatch[#Headers],0))&amp;")"</f>
        <v>Wed 16 Jun 14:00 (BBC)</v>
      </c>
      <c r="AJ21" s="28" t="str">
        <f>INDEX(tblGroupMatch[],MATCH(tblMatchesB[[#This Row],[Match_Code]],tblGroupMatch[Match_Code],0),MATCH("Team A Name",tblGroupMatch[#Headers],0))</f>
        <v>Finland</v>
      </c>
      <c r="AK21" s="28" t="str">
        <f>INDEX(tblGroupMatch[],MATCH(tblMatchesB[[#This Row],[Match_Code]],tblGroupMatch[Match_Code],0),MATCH("Team A Goals",tblGroupMatch[#Headers],0))&amp;IF(AND(tblMatchesB[[#This Row],[Team A Penalties]]&gt;0,tblMatchesB[[#This Row],[Team B Penalties]]&gt;0)," (Pen "&amp;tblMatchesB[[#This Row],[Team A Penalties]]&amp;")","")</f>
        <v/>
      </c>
      <c r="AL21" s="28">
        <f>INDEX(tblGroupMatch[],MATCH(tblMatchesB[[#This Row],[Match_Code]],tblGroupMatch[Match_Code],0),MATCH("Team A Penalties",tblGroupMatch[#Headers],0))</f>
        <v>0</v>
      </c>
      <c r="AM21" s="28">
        <f>INDEX(tblGroupMatch[],MATCH(tblMatchesB[[#This Row],[Match_Code]],tblGroupMatch[Match_Code],0),MATCH("Team B Penalties",tblGroupMatch[#Headers],0))</f>
        <v>0</v>
      </c>
      <c r="AN21" s="28" t="str">
        <f>IF(AND(tblMatchesB[[#This Row],[Team A Penalties]]&gt;0,tblMatchesB[[#This Row],[Team B Penalties]]&gt;0),"(Pen "&amp;tblMatchesB[[#This Row],[Team B Penalties]]&amp;") ","")&amp;INDEX(tblGroupMatch[],MATCH(tblMatchesB[[#This Row],[Match_Code]],tblGroupMatch[Match_Code],0),MATCH("Team B Goals",tblGroupMatch[#Headers],0))</f>
        <v/>
      </c>
      <c r="AO21" s="28" t="str">
        <f>INDEX(tblGroupMatch[],MATCH(tblMatchesB[[#This Row],[Match_Code]],tblGroupMatch[Match_Code],0),MATCH("Team B Name",tblGroupMatch[#Headers],0))</f>
        <v>Russia</v>
      </c>
      <c r="AP21" s="28" t="str">
        <f>INDEX(tblGroupMatch[],MATCH(tblMatchesB[[#This Row],[Match_Code]],tblGroupMatch[Match_Code],0),MATCH("Venue",tblGroupMatch[#Headers],0))</f>
        <v>Krestovsky Stadium (RUS)</v>
      </c>
      <c r="AQ21" s="28" t="str">
        <f t="shared" si="1"/>
        <v xml:space="preserve"> - </v>
      </c>
      <c r="AS21" s="45"/>
      <c r="AT21" s="45"/>
      <c r="AU21" s="45"/>
      <c r="AV21" s="45"/>
      <c r="AW21" s="45"/>
      <c r="AX21" s="45"/>
      <c r="AY21" s="45"/>
      <c r="AZ21" s="45"/>
      <c r="BA21" s="45"/>
      <c r="BB21" s="45"/>
      <c r="BC21" s="45"/>
      <c r="BD21" s="45"/>
      <c r="BE21" s="45"/>
      <c r="BF21" s="45"/>
      <c r="BG21" s="45"/>
      <c r="BH21" s="45"/>
      <c r="BI21" s="45"/>
      <c r="BJ21" s="45"/>
      <c r="BK21" s="45"/>
      <c r="BL21" s="45"/>
      <c r="BM21" s="45"/>
      <c r="BN21" s="45"/>
      <c r="BO21" s="45"/>
    </row>
    <row r="22" spans="2:67" x14ac:dyDescent="0.3">
      <c r="B22" s="27" t="s">
        <v>222</v>
      </c>
      <c r="C22" s="27">
        <f ca="1">INDEX(tblGroupTotals[],MATCH(tblGroupB[[#This Row],[Table_Rank_Code]],tblGroupTotals[Table_Rank_Code],0),MATCH("Team_Number",tblGroupTotals[#Headers],0))</f>
        <v>6</v>
      </c>
      <c r="D22" s="27">
        <v>4</v>
      </c>
      <c r="E22" s="27" t="str">
        <f ca="1">INDEX(lkupTeam[],MATCH(tblGroupB[[#This Row],[Team_Number]],lkupTeam[Team_Number],0),MATCH("Team",lkupTeam[#Headers],0))</f>
        <v>Finland</v>
      </c>
      <c r="F22" s="27">
        <f ca="1">INDEX(tblGroupTotals[],MATCH(tblGroupB[[#This Row],[Table_Rank_Code]],tblGroupTotals[Table_Rank_Code],0),MATCH("Total_Games",tblGroupTotals[#Headers],0))</f>
        <v>0</v>
      </c>
      <c r="G22" s="27">
        <f ca="1">INDEX(tblGroupTotals[],MATCH(tblGroupB[[#This Row],[Table_Rank_Code]],tblGroupTotals[Table_Rank_Code],0),MATCH("Total_Wins",tblGroupTotals[#Headers],0))</f>
        <v>0</v>
      </c>
      <c r="H22" s="27">
        <f ca="1">INDEX(tblGroupTotals[],MATCH(tblGroupB[[#This Row],[Table_Rank_Code]],tblGroupTotals[Table_Rank_Code],0),MATCH("Total_Draws",tblGroupTotals[#Headers],0))</f>
        <v>0</v>
      </c>
      <c r="I22" s="27">
        <f ca="1">INDEX(tblGroupTotals[],MATCH(tblGroupB[[#This Row],[Table_Rank_Code]],tblGroupTotals[Table_Rank_Code],0),MATCH("Total_Loses",tblGroupTotals[#Headers],0))</f>
        <v>0</v>
      </c>
      <c r="J22" s="27">
        <f ca="1">INDEX(tblGroupTotals[],MATCH(tblGroupB[[#This Row],[Table_Rank_Code]],tblGroupTotals[Table_Rank_Code],0),MATCH("Total_Goals_For",tblGroupTotals[#Headers],0))</f>
        <v>0</v>
      </c>
      <c r="K22" s="27">
        <f ca="1">INDEX(tblGroupTotals[],MATCH(tblGroupB[[#This Row],[Table_Rank_Code]],tblGroupTotals[Table_Rank_Code],0),MATCH("Total_Goals_Against",tblGroupTotals[#Headers],0))</f>
        <v>0</v>
      </c>
      <c r="L22" s="27">
        <f ca="1">INDEX(tblGroupTotals[],MATCH(tblGroupB[[#This Row],[Table_Rank_Code]],tblGroupTotals[Table_Rank_Code],0),MATCH("Goal_Difference",tblGroupTotals[#Headers],0))</f>
        <v>0</v>
      </c>
      <c r="M22" s="27">
        <f ca="1">INDEX(tblGroupTotals[],MATCH(tblGroupB[[#This Row],[Table_Rank_Code]],tblGroupTotals[Table_Rank_Code],0),MATCH("Total_Points",tblGroupTotals[#Headers],0))</f>
        <v>0</v>
      </c>
      <c r="N22" s="27" t="str">
        <f ca="1">IF(INDEX(tblGroupTotals[],MATCH(tblGroupB[[#This Row],[Table_Rank_Code]],tblGroupTotals[Table_Rank_Code],0),MATCH("Group_Points_TieBreak_Rank_1",tblGroupTotals[#Headers],0))&lt;&gt;4,INDEX(tblGroupTotals[],MATCH(tblGroupB[[#This Row],[Table_Rank_Code]],tblGroupTotals[Table_Rank_Code],0),MATCH("Group_Points_TieBreak_Rank_1",tblGroupTotals[#Headers],0)),"")</f>
        <v/>
      </c>
      <c r="O22" s="27">
        <f ca="1">INDEX(tblGroupTotals[],MATCH(tblGroupB[[#This Row],[Table_Rank_Code]],tblGroupTotals[Table_Rank_Code],0),MATCH("Total_Diciplinary_Points",tblGroupTotals[#Headers],0))</f>
        <v>0</v>
      </c>
      <c r="P22" s="27">
        <f ca="1">INDEX(tblGroupTotals[],MATCH(tblGroupB[[#This Row],[Table_Rank_Code]],tblGroupTotals[Table_Rank_Code],0),MATCH("Total_Group_Rank_Value",tblGroupTotals[#Headers],0))</f>
        <v>144111114</v>
      </c>
      <c r="Q22" s="27" t="str">
        <f ca="1">LEFT(tblGroupB[[#This Row],[Total_Group_Rank_Value]],1)</f>
        <v>1</v>
      </c>
      <c r="R22" s="27" t="str">
        <f ca="1">LEFT(tblGroupB[[#This Row],[Total_Group_Rank_Value]],3)</f>
        <v>144</v>
      </c>
      <c r="S22" s="27" t="str">
        <f ca="1">LEFT(tblGroupB[[#This Row],[Total_Group_Rank_Value]],5)</f>
        <v>14411</v>
      </c>
      <c r="T22" s="27" t="str">
        <f ca="1">LEFT(tblGroupB[[#This Row],[Total_Group_Rank_Value]],6)</f>
        <v>144111</v>
      </c>
      <c r="U22" s="27" t="str">
        <f ca="1">LEFT(tblGroupB[[#This Row],[Total_Group_Rank_Value]],7)</f>
        <v>1441111</v>
      </c>
      <c r="V22" s="27" t="str">
        <f ca="1">LEFT(tblGroupB[[#This Row],[Total_Group_Rank_Value]],8)</f>
        <v>14411111</v>
      </c>
      <c r="W22" s="27" t="b">
        <f ca="1">COUNTIF(tblGroupB[Group_Point_Rank_Value],tblGroupB[[#This Row],[Group_Point_Rank_Value]])&gt;1</f>
        <v>1</v>
      </c>
      <c r="X22" s="27" t="b">
        <f ca="1">COUNTIF(tblGroupB[Head_To_Head_Rank_Value],tblGroupB[[#This Row],[Head_To_Head_Rank_Value]])&gt;1</f>
        <v>1</v>
      </c>
      <c r="Y22" s="27" t="b">
        <f ca="1">COUNTIF(tblGroupB[Group_Goals_Rank_Value],tblGroupB[[#This Row],[Group_Goals_Rank_Value]])&gt;1</f>
        <v>1</v>
      </c>
      <c r="Z22" s="27" t="b">
        <f ca="1">COUNTIF(tblGroupB[Wins_Rank_Value],tblGroupB[[#This Row],[Wins_Rank_Value]])&gt;1</f>
        <v>1</v>
      </c>
      <c r="AA22" s="27" t="b">
        <f ca="1">COUNTIF(tblGroupB[Penalty_Rank_Value],tblGroupB[[#This Row],[Penalty_Rank_Value]])&gt;1</f>
        <v>1</v>
      </c>
      <c r="AB22" s="27" t="b">
        <f ca="1">COUNTIF(tblGroupB[Diciplinary_Rank_Value],tblGroupB[[#This Row],[Diciplinary_Rank_Value]])&gt;1</f>
        <v>1</v>
      </c>
      <c r="AC22" s="27" t="b">
        <f ca="1">COUNTIF(tblGroupB[Total_Group_Rank_Value],tblGroupB[[#This Row],[Total_Group_Rank_Value]])&gt;1</f>
        <v>0</v>
      </c>
      <c r="AD22" s="27" t="str">
        <f ca="1">IF(tblGroupB[[#This Row],[Points_Match]],IF(tblGroupB[[#This Row],[H2H_Match]],IF(tblGroupB[[#This Row],[Goals_Match]],IF(tblGroupB[[#This Row],[Wins_Match]],IF(tblGroupB[[#This Row],[Penalty_Match]],IF(tblGroupB[[#This Row],[Disciplinary_Match]],"Euro Qualifier Rank","Disciplinary Points ("&amp;tblGroupB[[#This Row],[Total_Diciplinary_Points]]&amp;")"),"Penalties"),"Wins ("&amp;tblGroupB[[#This Row],[Table_Won]]&amp;")"),""),"Head 2 Head ("&amp;tblGroupB[[#This Row],[Table_Head_to_Head_Rank]]&amp;")"),"")</f>
        <v>Euro Qualifier Rank</v>
      </c>
      <c r="AE22" s="27" t="b">
        <f ca="1">AND(tblGroupB[[#This Row],[Table_Position]]=3,COUNTIFS(tblGroupThirdPlace[Team_Number],tblGroupB[[#This Row],[Team_Number]],tblGroupThirdPlace[Table_Position],"&lt;5")&gt;0)</f>
        <v>0</v>
      </c>
      <c r="AH22" s="28" t="s">
        <v>342</v>
      </c>
      <c r="AI22" s="28" t="str">
        <f>TEXT(INDEX(tblGroupMatch[],MATCH(tblMatchesB[[#This Row],[Match_Code]],tblGroupMatch[Match_Code],0),MATCH("Date &amp; Time",tblGroupMatch[#Headers],0)),"ddd dd mmm hh:mm")&amp;" ("&amp;INDEX(tblGroupMatch[],MATCH(tblMatchesB[[#This Row],[Match_Code]],tblGroupMatch[Match_Code],0),MATCH("TV_Station",tblGroupMatch[#Headers],0))&amp;")"</f>
        <v>Thu 17 Jun 17:00 (iTV)</v>
      </c>
      <c r="AJ22" s="28" t="str">
        <f>INDEX(tblGroupMatch[],MATCH(tblMatchesB[[#This Row],[Match_Code]],tblGroupMatch[Match_Code],0),MATCH("Team A Name",tblGroupMatch[#Headers],0))</f>
        <v>Denmark</v>
      </c>
      <c r="AK22" s="28" t="str">
        <f>INDEX(tblGroupMatch[],MATCH(tblMatchesB[[#This Row],[Match_Code]],tblGroupMatch[Match_Code],0),MATCH("Team A Goals",tblGroupMatch[#Headers],0))&amp;IF(AND(tblMatchesB[[#This Row],[Team A Penalties]]&gt;0,tblMatchesB[[#This Row],[Team B Penalties]]&gt;0)," (Pen "&amp;tblMatchesB[[#This Row],[Team A Penalties]]&amp;")","")</f>
        <v/>
      </c>
      <c r="AL22" s="28">
        <f>INDEX(tblGroupMatch[],MATCH(tblMatchesB[[#This Row],[Match_Code]],tblGroupMatch[Match_Code],0),MATCH("Team A Penalties",tblGroupMatch[#Headers],0))</f>
        <v>0</v>
      </c>
      <c r="AM22" s="28">
        <f>INDEX(tblGroupMatch[],MATCH(tblMatchesB[[#This Row],[Match_Code]],tblGroupMatch[Match_Code],0),MATCH("Team B Penalties",tblGroupMatch[#Headers],0))</f>
        <v>0</v>
      </c>
      <c r="AN22" s="28" t="str">
        <f>IF(AND(tblMatchesB[[#This Row],[Team A Penalties]]&gt;0,tblMatchesB[[#This Row],[Team B Penalties]]&gt;0),"(Pen "&amp;tblMatchesB[[#This Row],[Team B Penalties]]&amp;") ","")&amp;INDEX(tblGroupMatch[],MATCH(tblMatchesB[[#This Row],[Match_Code]],tblGroupMatch[Match_Code],0),MATCH("Team B Goals",tblGroupMatch[#Headers],0))</f>
        <v/>
      </c>
      <c r="AO22" s="28" t="str">
        <f>INDEX(tblGroupMatch[],MATCH(tblMatchesB[[#This Row],[Match_Code]],tblGroupMatch[Match_Code],0),MATCH("Team B Name",tblGroupMatch[#Headers],0))</f>
        <v>Belgium</v>
      </c>
      <c r="AP22" s="28" t="str">
        <f>INDEX(tblGroupMatch[],MATCH(tblMatchesB[[#This Row],[Match_Code]],tblGroupMatch[Match_Code],0),MATCH("Venue",tblGroupMatch[#Headers],0))</f>
        <v>Parken Stadium (DEN)</v>
      </c>
      <c r="AQ22" s="28" t="str">
        <f t="shared" si="1"/>
        <v xml:space="preserve"> - </v>
      </c>
      <c r="AS22" s="45"/>
      <c r="AT22" s="45"/>
      <c r="AU22" s="45"/>
      <c r="AV22" s="45"/>
      <c r="AW22" s="45"/>
      <c r="AX22" s="45"/>
      <c r="AY22" s="45"/>
      <c r="AZ22" s="45"/>
      <c r="BA22" s="45"/>
      <c r="BB22" s="45"/>
      <c r="BC22" s="45"/>
      <c r="BD22" s="45"/>
      <c r="BE22" s="45"/>
      <c r="BF22" s="45"/>
      <c r="BG22" s="45"/>
      <c r="BH22" s="45"/>
      <c r="BI22" s="45"/>
      <c r="BJ22" s="45"/>
      <c r="BK22" s="45"/>
      <c r="BL22" s="45"/>
      <c r="BM22" s="45"/>
      <c r="BN22" s="45"/>
      <c r="BO22" s="45"/>
    </row>
    <row r="23" spans="2:67" x14ac:dyDescent="0.3">
      <c r="AH23" s="28" t="s">
        <v>343</v>
      </c>
      <c r="AI23" s="28" t="str">
        <f>TEXT(INDEX(tblGroupMatch[],MATCH(tblMatchesB[[#This Row],[Match_Code]],tblGroupMatch[Match_Code],0),MATCH("Date &amp; Time",tblGroupMatch[#Headers],0)),"ddd dd mmm hh:mm")&amp;" ("&amp;INDEX(tblGroupMatch[],MATCH(tblMatchesB[[#This Row],[Match_Code]],tblGroupMatch[Match_Code],0),MATCH("TV_Station",tblGroupMatch[#Headers],0))&amp;")"</f>
        <v>Mon 21 Jun 20:00 (BBC)</v>
      </c>
      <c r="AJ23" s="28" t="str">
        <f>INDEX(tblGroupMatch[],MATCH(tblMatchesB[[#This Row],[Match_Code]],tblGroupMatch[Match_Code],0),MATCH("Team A Name",tblGroupMatch[#Headers],0))</f>
        <v>Finland</v>
      </c>
      <c r="AK23" s="28" t="str">
        <f>INDEX(tblGroupMatch[],MATCH(tblMatchesB[[#This Row],[Match_Code]],tblGroupMatch[Match_Code],0),MATCH("Team A Goals",tblGroupMatch[#Headers],0))&amp;IF(AND(tblMatchesB[[#This Row],[Team A Penalties]]&gt;0,tblMatchesB[[#This Row],[Team B Penalties]]&gt;0)," (Pen "&amp;tblMatchesB[[#This Row],[Team A Penalties]]&amp;")","")</f>
        <v/>
      </c>
      <c r="AL23" s="28">
        <f>INDEX(tblGroupMatch[],MATCH(tblMatchesB[[#This Row],[Match_Code]],tblGroupMatch[Match_Code],0),MATCH("Team A Penalties",tblGroupMatch[#Headers],0))</f>
        <v>0</v>
      </c>
      <c r="AM23" s="28">
        <f>INDEX(tblGroupMatch[],MATCH(tblMatchesB[[#This Row],[Match_Code]],tblGroupMatch[Match_Code],0),MATCH("Team B Penalties",tblGroupMatch[#Headers],0))</f>
        <v>0</v>
      </c>
      <c r="AN23" s="28" t="str">
        <f>IF(AND(tblMatchesB[[#This Row],[Team A Penalties]]&gt;0,tblMatchesB[[#This Row],[Team B Penalties]]&gt;0),"(Pen "&amp;tblMatchesB[[#This Row],[Team B Penalties]]&amp;") ","")&amp;INDEX(tblGroupMatch[],MATCH(tblMatchesB[[#This Row],[Match_Code]],tblGroupMatch[Match_Code],0),MATCH("Team B Goals",tblGroupMatch[#Headers],0))</f>
        <v/>
      </c>
      <c r="AO23" s="28" t="str">
        <f>INDEX(tblGroupMatch[],MATCH(tblMatchesB[[#This Row],[Match_Code]],tblGroupMatch[Match_Code],0),MATCH("Team B Name",tblGroupMatch[#Headers],0))</f>
        <v>Belgium</v>
      </c>
      <c r="AP23" s="28" t="str">
        <f>INDEX(tblGroupMatch[],MATCH(tblMatchesB[[#This Row],[Match_Code]],tblGroupMatch[Match_Code],0),MATCH("Venue",tblGroupMatch[#Headers],0))</f>
        <v>Parken Stadium (DEN)</v>
      </c>
      <c r="AQ23" s="28" t="str">
        <f t="shared" si="1"/>
        <v xml:space="preserve"> - </v>
      </c>
      <c r="AS23" s="45"/>
      <c r="AT23" s="45"/>
      <c r="AU23" s="45"/>
      <c r="AV23" s="45"/>
      <c r="AW23" s="45"/>
      <c r="AX23" s="45"/>
      <c r="AY23" s="45"/>
      <c r="AZ23" s="45"/>
      <c r="BA23" s="45"/>
      <c r="BB23" s="45"/>
      <c r="BC23" s="45"/>
      <c r="BD23" s="45"/>
      <c r="BE23" s="45"/>
      <c r="BF23" s="45"/>
      <c r="BG23" s="45"/>
      <c r="BH23" s="45"/>
      <c r="BI23" s="45"/>
      <c r="BJ23" s="45"/>
      <c r="BK23" s="45"/>
      <c r="BL23" s="45"/>
      <c r="BM23" s="45"/>
      <c r="BN23" s="45"/>
      <c r="BO23" s="45"/>
    </row>
    <row r="24" spans="2:67" x14ac:dyDescent="0.3">
      <c r="AH24" s="28" t="s">
        <v>344</v>
      </c>
      <c r="AI24" s="28" t="str">
        <f>TEXT(INDEX(tblGroupMatch[],MATCH(tblMatchesB[[#This Row],[Match_Code]],tblGroupMatch[Match_Code],0),MATCH("Date &amp; Time",tblGroupMatch[#Headers],0)),"ddd dd mmm hh:mm")&amp;" ("&amp;INDEX(tblGroupMatch[],MATCH(tblMatchesB[[#This Row],[Match_Code]],tblGroupMatch[Match_Code],0),MATCH("TV_Station",tblGroupMatch[#Headers],0))&amp;")"</f>
        <v>Mon 21 Jun 20:00 (BBC)</v>
      </c>
      <c r="AJ24" s="28" t="str">
        <f>INDEX(tblGroupMatch[],MATCH(tblMatchesB[[#This Row],[Match_Code]],tblGroupMatch[Match_Code],0),MATCH("Team A Name",tblGroupMatch[#Headers],0))</f>
        <v>Russia</v>
      </c>
      <c r="AK24" s="28" t="str">
        <f>INDEX(tblGroupMatch[],MATCH(tblMatchesB[[#This Row],[Match_Code]],tblGroupMatch[Match_Code],0),MATCH("Team A Goals",tblGroupMatch[#Headers],0))&amp;IF(AND(tblMatchesB[[#This Row],[Team A Penalties]]&gt;0,tblMatchesB[[#This Row],[Team B Penalties]]&gt;0)," (Pen "&amp;tblMatchesB[[#This Row],[Team A Penalties]]&amp;")","")</f>
        <v/>
      </c>
      <c r="AL24" s="28">
        <f>INDEX(tblGroupMatch[],MATCH(tblMatchesB[[#This Row],[Match_Code]],tblGroupMatch[Match_Code],0),MATCH("Team A Penalties",tblGroupMatch[#Headers],0))</f>
        <v>0</v>
      </c>
      <c r="AM24" s="28">
        <f>INDEX(tblGroupMatch[],MATCH(tblMatchesB[[#This Row],[Match_Code]],tblGroupMatch[Match_Code],0),MATCH("Team B Penalties",tblGroupMatch[#Headers],0))</f>
        <v>0</v>
      </c>
      <c r="AN24" s="28" t="str">
        <f>IF(AND(tblMatchesB[[#This Row],[Team A Penalties]]&gt;0,tblMatchesB[[#This Row],[Team B Penalties]]&gt;0),"(Pen "&amp;tblMatchesB[[#This Row],[Team B Penalties]]&amp;") ","")&amp;INDEX(tblGroupMatch[],MATCH(tblMatchesB[[#This Row],[Match_Code]],tblGroupMatch[Match_Code],0),MATCH("Team B Goals",tblGroupMatch[#Headers],0))</f>
        <v/>
      </c>
      <c r="AO24" s="28" t="str">
        <f>INDEX(tblGroupMatch[],MATCH(tblMatchesB[[#This Row],[Match_Code]],tblGroupMatch[Match_Code],0),MATCH("Team B Name",tblGroupMatch[#Headers],0))</f>
        <v>Denmark</v>
      </c>
      <c r="AP24" s="28" t="str">
        <f>INDEX(tblGroupMatch[],MATCH(tblMatchesB[[#This Row],[Match_Code]],tblGroupMatch[Match_Code],0),MATCH("Venue",tblGroupMatch[#Headers],0))</f>
        <v>Krestovsky Stadium (RUS)</v>
      </c>
      <c r="AQ24" s="28" t="str">
        <f t="shared" si="1"/>
        <v xml:space="preserve"> - </v>
      </c>
      <c r="AS24" s="45"/>
      <c r="AT24" s="45"/>
      <c r="AU24" s="45"/>
      <c r="AV24" s="45"/>
      <c r="AW24" s="45"/>
      <c r="AX24" s="45"/>
      <c r="AY24" s="45"/>
      <c r="AZ24" s="45"/>
      <c r="BA24" s="45"/>
      <c r="BB24" s="45"/>
      <c r="BC24" s="45"/>
      <c r="BD24" s="45"/>
      <c r="BE24" s="45"/>
      <c r="BF24" s="45"/>
      <c r="BG24" s="45"/>
      <c r="BH24" s="45"/>
      <c r="BI24" s="45"/>
      <c r="BJ24" s="45"/>
      <c r="BK24" s="45"/>
      <c r="BL24" s="45"/>
      <c r="BM24" s="45"/>
      <c r="BN24" s="45"/>
      <c r="BO24" s="45"/>
    </row>
    <row r="25" spans="2:67" s="45" customFormat="1" x14ac:dyDescent="0.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4"/>
      <c r="AE25" s="44"/>
      <c r="AH25" s="46"/>
      <c r="AI25" s="46"/>
      <c r="AJ25" s="46"/>
      <c r="AK25" s="46"/>
      <c r="AL25" s="46"/>
      <c r="AM25" s="46"/>
      <c r="AN25" s="46"/>
      <c r="AO25" s="46"/>
      <c r="AP25" s="46"/>
      <c r="AQ25" s="46"/>
    </row>
    <row r="26" spans="2:67" s="45" customFormat="1" x14ac:dyDescent="0.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c r="AE26" s="44"/>
      <c r="AH26" s="46"/>
      <c r="AI26" s="46"/>
      <c r="AJ26" s="46"/>
      <c r="AK26" s="46"/>
      <c r="AL26" s="46"/>
      <c r="AM26" s="46"/>
      <c r="AN26" s="46"/>
      <c r="AO26" s="46"/>
      <c r="AP26" s="46"/>
      <c r="AQ26" s="46"/>
    </row>
    <row r="27" spans="2:67" s="45" customFormat="1" x14ac:dyDescent="0.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c r="AE27" s="44"/>
      <c r="AH27" s="46"/>
      <c r="AI27" s="46"/>
      <c r="AJ27" s="46"/>
      <c r="AK27" s="46"/>
      <c r="AL27" s="46"/>
      <c r="AM27" s="46"/>
      <c r="AN27" s="46"/>
      <c r="AO27" s="46"/>
      <c r="AP27" s="46"/>
      <c r="AQ27" s="46"/>
    </row>
    <row r="28" spans="2:67" x14ac:dyDescent="0.3">
      <c r="AS28" s="45"/>
      <c r="AT28" s="45"/>
      <c r="AU28" s="45"/>
      <c r="AV28" s="45"/>
      <c r="AW28" s="45"/>
      <c r="AX28" s="45"/>
      <c r="AY28" s="45"/>
      <c r="AZ28" s="45"/>
      <c r="BA28" s="45"/>
      <c r="BB28" s="45"/>
      <c r="BC28" s="45"/>
      <c r="BD28" s="45"/>
      <c r="BE28" s="45"/>
      <c r="BF28" s="45"/>
      <c r="BG28" s="45"/>
      <c r="BH28" s="45"/>
      <c r="BI28" s="45"/>
      <c r="BJ28" s="45"/>
      <c r="BK28" s="45"/>
      <c r="BL28" s="45"/>
      <c r="BM28" s="45"/>
      <c r="BN28" s="45"/>
      <c r="BO28" s="45"/>
    </row>
    <row r="29" spans="2:67" x14ac:dyDescent="0.3">
      <c r="B29" s="27" t="s">
        <v>308</v>
      </c>
      <c r="C29" s="27" t="s">
        <v>39</v>
      </c>
      <c r="D29" s="27" t="s">
        <v>318</v>
      </c>
      <c r="E29" s="27" t="s">
        <v>319</v>
      </c>
      <c r="F29" s="27" t="s">
        <v>320</v>
      </c>
      <c r="G29" s="27" t="s">
        <v>321</v>
      </c>
      <c r="H29" s="27" t="s">
        <v>322</v>
      </c>
      <c r="I29" s="27" t="s">
        <v>323</v>
      </c>
      <c r="J29" s="27" t="s">
        <v>324</v>
      </c>
      <c r="K29" s="27" t="s">
        <v>325</v>
      </c>
      <c r="L29" s="27" t="s">
        <v>326</v>
      </c>
      <c r="M29" s="27" t="s">
        <v>327</v>
      </c>
      <c r="N29" s="27" t="s">
        <v>328</v>
      </c>
      <c r="O29" s="27" t="s">
        <v>218</v>
      </c>
      <c r="P29" s="27" t="s">
        <v>306</v>
      </c>
      <c r="Q29" s="27" t="s">
        <v>358</v>
      </c>
      <c r="R29" s="27" t="s">
        <v>357</v>
      </c>
      <c r="S29" s="27" t="s">
        <v>359</v>
      </c>
      <c r="T29" s="27" t="s">
        <v>362</v>
      </c>
      <c r="U29" s="27" t="s">
        <v>361</v>
      </c>
      <c r="V29" s="27" t="s">
        <v>360</v>
      </c>
      <c r="W29" s="27" t="s">
        <v>363</v>
      </c>
      <c r="X29" s="27" t="s">
        <v>364</v>
      </c>
      <c r="Y29" s="27" t="s">
        <v>365</v>
      </c>
      <c r="Z29" s="27" t="s">
        <v>366</v>
      </c>
      <c r="AA29" s="27" t="s">
        <v>367</v>
      </c>
      <c r="AB29" s="27" t="s">
        <v>368</v>
      </c>
      <c r="AC29" s="27" t="s">
        <v>369</v>
      </c>
      <c r="AD29" s="27" t="s">
        <v>370</v>
      </c>
      <c r="AE29" s="27" t="s">
        <v>427</v>
      </c>
      <c r="AH29" s="28" t="s">
        <v>250</v>
      </c>
      <c r="AI29" s="28" t="s">
        <v>189</v>
      </c>
      <c r="AJ29" s="28" t="s">
        <v>178</v>
      </c>
      <c r="AK29" s="28" t="s">
        <v>179</v>
      </c>
      <c r="AL29" s="28" t="s">
        <v>182</v>
      </c>
      <c r="AM29" s="28" t="s">
        <v>187</v>
      </c>
      <c r="AN29" s="28" t="s">
        <v>184</v>
      </c>
      <c r="AO29" s="28" t="s">
        <v>183</v>
      </c>
      <c r="AP29" s="28" t="s">
        <v>177</v>
      </c>
      <c r="AQ29" s="28" t="s">
        <v>336</v>
      </c>
      <c r="AS29" s="45"/>
      <c r="AT29" s="45"/>
      <c r="AU29" s="45"/>
      <c r="AV29" s="45"/>
      <c r="AW29" s="45"/>
      <c r="AX29" s="45"/>
      <c r="AY29" s="45"/>
      <c r="AZ29" s="45"/>
      <c r="BA29" s="45"/>
      <c r="BB29" s="45"/>
      <c r="BC29" s="45"/>
      <c r="BD29" s="45"/>
      <c r="BE29" s="45"/>
      <c r="BF29" s="45"/>
      <c r="BG29" s="45"/>
      <c r="BH29" s="45"/>
      <c r="BI29" s="45"/>
      <c r="BJ29" s="45"/>
      <c r="BK29" s="45"/>
      <c r="BL29" s="45"/>
      <c r="BM29" s="45"/>
      <c r="BN29" s="45"/>
      <c r="BO29" s="45"/>
    </row>
    <row r="30" spans="2:67" x14ac:dyDescent="0.3">
      <c r="B30" s="27" t="s">
        <v>223</v>
      </c>
      <c r="C30" s="27">
        <f ca="1">INDEX(tblGroupTotals[],MATCH(tblGroupC[[#This Row],[Table_Rank_Code]],tblGroupTotals[Table_Rank_Code],0),MATCH("Team_Number",tblGroupTotals[#Headers],0))</f>
        <v>12</v>
      </c>
      <c r="D30" s="27">
        <v>1</v>
      </c>
      <c r="E30" s="27" t="str">
        <f ca="1">INDEX(lkupTeam[],MATCH(tblGroupC[[#This Row],[Team_Number]],lkupTeam[Team_Number],0),MATCH("Team",lkupTeam[#Headers],0))</f>
        <v>Ukraine</v>
      </c>
      <c r="F30" s="27">
        <f ca="1">INDEX(tblGroupTotals[],MATCH(tblGroupC[[#This Row],[Table_Rank_Code]],tblGroupTotals[Table_Rank_Code],0),MATCH("Total_Games",tblGroupTotals[#Headers],0))</f>
        <v>0</v>
      </c>
      <c r="G30" s="27">
        <f ca="1">INDEX(tblGroupTotals[],MATCH(tblGroupC[[#This Row],[Table_Rank_Code]],tblGroupTotals[Table_Rank_Code],0),MATCH("Total_Wins",tblGroupTotals[#Headers],0))</f>
        <v>0</v>
      </c>
      <c r="H30" s="27">
        <f ca="1">INDEX(tblGroupTotals[],MATCH(tblGroupC[[#This Row],[Table_Rank_Code]],tblGroupTotals[Table_Rank_Code],0),MATCH("Total_Draws",tblGroupTotals[#Headers],0))</f>
        <v>0</v>
      </c>
      <c r="I30" s="27">
        <f ca="1">INDEX(tblGroupTotals[],MATCH(tblGroupC[[#This Row],[Table_Rank_Code]],tblGroupTotals[Table_Rank_Code],0),MATCH("Total_Loses",tblGroupTotals[#Headers],0))</f>
        <v>0</v>
      </c>
      <c r="J30" s="27">
        <f ca="1">INDEX(tblGroupTotals[],MATCH(tblGroupC[[#This Row],[Table_Rank_Code]],tblGroupTotals[Table_Rank_Code],0),MATCH("Total_Goals_For",tblGroupTotals[#Headers],0))</f>
        <v>0</v>
      </c>
      <c r="K30" s="27">
        <f ca="1">INDEX(tblGroupTotals[],MATCH(tblGroupC[[#This Row],[Table_Rank_Code]],tblGroupTotals[Table_Rank_Code],0),MATCH("Total_Goals_Against",tblGroupTotals[#Headers],0))</f>
        <v>0</v>
      </c>
      <c r="L30" s="27">
        <f ca="1">INDEX(tblGroupTotals[],MATCH(tblGroupC[[#This Row],[Table_Rank_Code]],tblGroupTotals[Table_Rank_Code],0),MATCH("Goal_Difference",tblGroupTotals[#Headers],0))</f>
        <v>0</v>
      </c>
      <c r="M30" s="27">
        <f ca="1">INDEX(tblGroupTotals[],MATCH(tblGroupC[[#This Row],[Table_Rank_Code]],tblGroupTotals[Table_Rank_Code],0),MATCH("Total_Points",tblGroupTotals[#Headers],0))</f>
        <v>0</v>
      </c>
      <c r="N30" s="27" t="str">
        <f ca="1">IF(INDEX(tblGroupTotals[],MATCH(tblGroupC[[#This Row],[Table_Rank_Code]],tblGroupTotals[Table_Rank_Code],0),MATCH("Group_Points_TieBreak_Rank_1",tblGroupTotals[#Headers],0))&lt;&gt;4,INDEX(tblGroupTotals[],MATCH(tblGroupC[[#This Row],[Table_Rank_Code]],tblGroupTotals[Table_Rank_Code],0),MATCH("Group_Points_TieBreak_Rank_1",tblGroupTotals[#Headers],0)),"")</f>
        <v/>
      </c>
      <c r="O30" s="27">
        <f ca="1">INDEX(tblGroupTotals[],MATCH(tblGroupC[[#This Row],[Table_Rank_Code]],tblGroupTotals[Table_Rank_Code],0),MATCH("Total_Diciplinary_Points",tblGroupTotals[#Headers],0))</f>
        <v>0</v>
      </c>
      <c r="P30" s="27">
        <f ca="1">INDEX(tblGroupTotals[],MATCH(tblGroupC[[#This Row],[Table_Rank_Code]],tblGroupTotals[Table_Rank_Code],0),MATCH("Total_Group_Rank_Value",tblGroupTotals[#Headers],0))</f>
        <v>144111111</v>
      </c>
      <c r="Q30" s="27" t="str">
        <f ca="1">LEFT(tblGroupC[[#This Row],[Total_Group_Rank_Value]],1)</f>
        <v>1</v>
      </c>
      <c r="R30" s="27" t="str">
        <f ca="1">LEFT(tblGroupC[[#This Row],[Total_Group_Rank_Value]],3)</f>
        <v>144</v>
      </c>
      <c r="S30" s="27" t="str">
        <f ca="1">LEFT(tblGroupC[[#This Row],[Total_Group_Rank_Value]],5)</f>
        <v>14411</v>
      </c>
      <c r="T30" s="27" t="str">
        <f ca="1">LEFT(tblGroupC[[#This Row],[Total_Group_Rank_Value]],6)</f>
        <v>144111</v>
      </c>
      <c r="U30" s="27" t="str">
        <f ca="1">LEFT(tblGroupC[[#This Row],[Total_Group_Rank_Value]],7)</f>
        <v>1441111</v>
      </c>
      <c r="V30" s="27" t="str">
        <f ca="1">LEFT(tblGroupC[[#This Row],[Total_Group_Rank_Value]],8)</f>
        <v>14411111</v>
      </c>
      <c r="W30" s="27" t="b">
        <f ca="1">COUNTIF(tblGroupC[Group_Point_Rank_Value],tblGroupC[[#This Row],[Group_Point_Rank_Value]])&gt;1</f>
        <v>1</v>
      </c>
      <c r="X30" s="27" t="b">
        <f ca="1">COUNTIF(tblGroupC[Head_To_Head_Rank_Value],tblGroupC[[#This Row],[Head_To_Head_Rank_Value]])&gt;1</f>
        <v>1</v>
      </c>
      <c r="Y30" s="27" t="b">
        <f ca="1">COUNTIF(tblGroupC[Group_Goals_Rank_Value],tblGroupC[[#This Row],[Group_Goals_Rank_Value]])&gt;1</f>
        <v>1</v>
      </c>
      <c r="Z30" s="27" t="b">
        <f ca="1">COUNTIF(tblGroupC[Wins_Rank_Value],tblGroupC[[#This Row],[Wins_Rank_Value]])&gt;1</f>
        <v>1</v>
      </c>
      <c r="AA30" s="27" t="b">
        <f ca="1">COUNTIF(tblGroupC[Penalty_Rank_Value],tblGroupC[[#This Row],[Penalty_Rank_Value]])&gt;1</f>
        <v>1</v>
      </c>
      <c r="AB30" s="27" t="b">
        <f ca="1">COUNTIF(tblGroupC[Diciplinary_Rank_Value],tblGroupC[[#This Row],[Diciplinary_Rank_Value]])&gt;1</f>
        <v>1</v>
      </c>
      <c r="AC30" s="27" t="b">
        <f ca="1">COUNTIF(tblGroupC[Total_Group_Rank_Value],tblGroupC[[#This Row],[Total_Group_Rank_Value]])&gt;1</f>
        <v>0</v>
      </c>
      <c r="AD30" s="27" t="str">
        <f ca="1">IF(tblGroupC[[#This Row],[Points_Match]],IF(tblGroupC[[#This Row],[H2H_Match]],IF(tblGroupC[[#This Row],[Goals_Match]],IF(tblGroupC[[#This Row],[Wins_Match]],IF(tblGroupC[[#This Row],[Penalty_Match]],IF(tblGroupC[[#This Row],[Disciplinary_Match]],"Euro Qualifier Rank","Disciplinary Points ("&amp;tblGroupC[[#This Row],[Total_Diciplinary_Points]]&amp;")"),"Penalties"),"Wins ("&amp;tblGroupC[[#This Row],[Table_Won]]&amp;")"),""),"Head 2 Head ("&amp;tblGroupC[[#This Row],[Table_Head_to_Head_Rank]]&amp;")"),"")</f>
        <v>Euro Qualifier Rank</v>
      </c>
      <c r="AE30" s="27" t="b">
        <f ca="1">AND(tblGroupC[[#This Row],[Table_Position]]=3,COUNTIFS(tblGroupThirdPlace[Team_Number],tblGroupC[[#This Row],[Team_Number]],tblGroupThirdPlace[Table_Position],"&lt;5")&gt;0)</f>
        <v>0</v>
      </c>
      <c r="AH30" s="28" t="s">
        <v>345</v>
      </c>
      <c r="AI30" s="28" t="str">
        <f>TEXT(INDEX(tblGroupMatch[],MATCH(tblMatchesC[[#This Row],[Match_Code]],tblGroupMatch[Match_Code],0),MATCH("Date &amp; Time",tblGroupMatch[#Headers],0)),"ddd dd mmm hh:mm")&amp;" ("&amp;INDEX(tblGroupMatch[],MATCH(tblMatchesC[[#This Row],[Match_Code]],tblGroupMatch[Match_Code],0),MATCH("TV_Station",tblGroupMatch[#Headers],0))&amp;")"</f>
        <v>Sun 13 Jun 17:00 (iTV)</v>
      </c>
      <c r="AJ30" s="28" t="str">
        <f>INDEX(tblGroupMatch[],MATCH(tblMatchesC[[#This Row],[Match_Code]],tblGroupMatch[Match_Code],0),MATCH("Team A Name",tblGroupMatch[#Headers],0))</f>
        <v>Austria</v>
      </c>
      <c r="AK30" s="28" t="str">
        <f>INDEX(tblGroupMatch[],MATCH(tblMatchesC[[#This Row],[Match_Code]],tblGroupMatch[Match_Code],0),MATCH("Team A Goals",tblGroupMatch[#Headers],0))&amp;IF(AND(tblMatchesC[[#This Row],[Team A Penalties]]&gt;0,tblMatchesC[[#This Row],[Team B Penalties]]&gt;0)," (Pen "&amp;tblMatchesC[[#This Row],[Team A Penalties]]&amp;")","")</f>
        <v/>
      </c>
      <c r="AL30" s="28">
        <f>INDEX(tblGroupMatch[],MATCH(tblMatchesC[[#This Row],[Match_Code]],tblGroupMatch[Match_Code],0),MATCH("Team A Penalties",tblGroupMatch[#Headers],0))</f>
        <v>0</v>
      </c>
      <c r="AM30" s="28">
        <f>INDEX(tblGroupMatch[],MATCH(tblMatchesC[[#This Row],[Match_Code]],tblGroupMatch[Match_Code],0),MATCH("Team B Penalties",tblGroupMatch[#Headers],0))</f>
        <v>0</v>
      </c>
      <c r="AN30" s="28" t="str">
        <f>IF(AND(tblMatchesC[[#This Row],[Team A Penalties]]&gt;0,tblMatchesC[[#This Row],[Team B Penalties]]&gt;0),"(Pen "&amp;tblMatchesC[[#This Row],[Team B Penalties]]&amp;") ","")&amp;INDEX(tblGroupMatch[],MATCH(tblMatchesC[[#This Row],[Match_Code]],tblGroupMatch[Match_Code],0),MATCH("Team B Goals",tblGroupMatch[#Headers],0))</f>
        <v/>
      </c>
      <c r="AO30" s="28" t="str">
        <f>INDEX(tblGroupMatch[],MATCH(tblMatchesC[[#This Row],[Match_Code]],tblGroupMatch[Match_Code],0),MATCH("Team B Name",tblGroupMatch[#Headers],0))</f>
        <v>North Macedonia</v>
      </c>
      <c r="AP30" s="28" t="str">
        <f>INDEX(tblGroupMatch[],MATCH(tblMatchesC[[#This Row],[Match_Code]],tblGroupMatch[Match_Code],0),MATCH("Venue",tblGroupMatch[#Headers],0))</f>
        <v>Arean Nationala (ROM)</v>
      </c>
      <c r="AQ30" s="28" t="str">
        <f>" - "</f>
        <v xml:space="preserve"> - </v>
      </c>
      <c r="AS30" s="45"/>
      <c r="AT30" s="45"/>
      <c r="AU30" s="45"/>
      <c r="AV30" s="45"/>
      <c r="AW30" s="45"/>
      <c r="AX30" s="45"/>
      <c r="AY30" s="45"/>
      <c r="AZ30" s="45"/>
      <c r="BA30" s="45"/>
      <c r="BB30" s="45"/>
      <c r="BC30" s="45"/>
      <c r="BD30" s="45"/>
      <c r="BE30" s="45"/>
      <c r="BF30" s="45"/>
      <c r="BG30" s="45"/>
      <c r="BH30" s="45"/>
      <c r="BI30" s="45"/>
      <c r="BJ30" s="45"/>
      <c r="BK30" s="45"/>
      <c r="BL30" s="45"/>
      <c r="BM30" s="45"/>
      <c r="BN30" s="45"/>
      <c r="BO30" s="45"/>
    </row>
    <row r="31" spans="2:67" x14ac:dyDescent="0.3">
      <c r="B31" s="27" t="s">
        <v>224</v>
      </c>
      <c r="C31" s="27">
        <f ca="1">INDEX(tblGroupTotals[],MATCH(tblGroupC[[#This Row],[Table_Rank_Code]],tblGroupTotals[Table_Rank_Code],0),MATCH("Team_Number",tblGroupTotals[#Headers],0))</f>
        <v>11</v>
      </c>
      <c r="D31" s="27">
        <v>2</v>
      </c>
      <c r="E31" s="27" t="str">
        <f ca="1">INDEX(lkupTeam[],MATCH(tblGroupC[[#This Row],[Team_Number]],lkupTeam[Team_Number],0),MATCH("Team",lkupTeam[#Headers],0))</f>
        <v>Netherlands</v>
      </c>
      <c r="F31" s="27">
        <f ca="1">INDEX(tblGroupTotals[],MATCH(tblGroupC[[#This Row],[Table_Rank_Code]],tblGroupTotals[Table_Rank_Code],0),MATCH("Total_Games",tblGroupTotals[#Headers],0))</f>
        <v>0</v>
      </c>
      <c r="G31" s="27">
        <f ca="1">INDEX(tblGroupTotals[],MATCH(tblGroupC[[#This Row],[Table_Rank_Code]],tblGroupTotals[Table_Rank_Code],0),MATCH("Total_Wins",tblGroupTotals[#Headers],0))</f>
        <v>0</v>
      </c>
      <c r="H31" s="27">
        <f ca="1">INDEX(tblGroupTotals[],MATCH(tblGroupC[[#This Row],[Table_Rank_Code]],tblGroupTotals[Table_Rank_Code],0),MATCH("Total_Draws",tblGroupTotals[#Headers],0))</f>
        <v>0</v>
      </c>
      <c r="I31" s="27">
        <f ca="1">INDEX(tblGroupTotals[],MATCH(tblGroupC[[#This Row],[Table_Rank_Code]],tblGroupTotals[Table_Rank_Code],0),MATCH("Total_Loses",tblGroupTotals[#Headers],0))</f>
        <v>0</v>
      </c>
      <c r="J31" s="27">
        <f ca="1">INDEX(tblGroupTotals[],MATCH(tblGroupC[[#This Row],[Table_Rank_Code]],tblGroupTotals[Table_Rank_Code],0),MATCH("Total_Goals_For",tblGroupTotals[#Headers],0))</f>
        <v>0</v>
      </c>
      <c r="K31" s="27">
        <f ca="1">INDEX(tblGroupTotals[],MATCH(tblGroupC[[#This Row],[Table_Rank_Code]],tblGroupTotals[Table_Rank_Code],0),MATCH("Total_Goals_Against",tblGroupTotals[#Headers],0))</f>
        <v>0</v>
      </c>
      <c r="L31" s="27">
        <f ca="1">INDEX(tblGroupTotals[],MATCH(tblGroupC[[#This Row],[Table_Rank_Code]],tblGroupTotals[Table_Rank_Code],0),MATCH("Goal_Difference",tblGroupTotals[#Headers],0))</f>
        <v>0</v>
      </c>
      <c r="M31" s="27">
        <f ca="1">INDEX(tblGroupTotals[],MATCH(tblGroupC[[#This Row],[Table_Rank_Code]],tblGroupTotals[Table_Rank_Code],0),MATCH("Total_Points",tblGroupTotals[#Headers],0))</f>
        <v>0</v>
      </c>
      <c r="N31" s="27" t="str">
        <f ca="1">IF(INDEX(tblGroupTotals[],MATCH(tblGroupC[[#This Row],[Table_Rank_Code]],tblGroupTotals[Table_Rank_Code],0),MATCH("Group_Points_TieBreak_Rank_1",tblGroupTotals[#Headers],0))&lt;&gt;4,INDEX(tblGroupTotals[],MATCH(tblGroupC[[#This Row],[Table_Rank_Code]],tblGroupTotals[Table_Rank_Code],0),MATCH("Group_Points_TieBreak_Rank_1",tblGroupTotals[#Headers],0)),"")</f>
        <v/>
      </c>
      <c r="O31" s="27">
        <f ca="1">INDEX(tblGroupTotals[],MATCH(tblGroupC[[#This Row],[Table_Rank_Code]],tblGroupTotals[Table_Rank_Code],0),MATCH("Total_Diciplinary_Points",tblGroupTotals[#Headers],0))</f>
        <v>0</v>
      </c>
      <c r="P31" s="27">
        <f ca="1">INDEX(tblGroupTotals[],MATCH(tblGroupC[[#This Row],[Table_Rank_Code]],tblGroupTotals[Table_Rank_Code],0),MATCH("Total_Group_Rank_Value",tblGroupTotals[#Headers],0))</f>
        <v>144111112</v>
      </c>
      <c r="Q31" s="27" t="str">
        <f ca="1">LEFT(tblGroupC[[#This Row],[Total_Group_Rank_Value]],1)</f>
        <v>1</v>
      </c>
      <c r="R31" s="27" t="str">
        <f ca="1">LEFT(tblGroupC[[#This Row],[Total_Group_Rank_Value]],3)</f>
        <v>144</v>
      </c>
      <c r="S31" s="27" t="str">
        <f ca="1">LEFT(tblGroupC[[#This Row],[Total_Group_Rank_Value]],5)</f>
        <v>14411</v>
      </c>
      <c r="T31" s="27" t="str">
        <f ca="1">LEFT(tblGroupC[[#This Row],[Total_Group_Rank_Value]],6)</f>
        <v>144111</v>
      </c>
      <c r="U31" s="27" t="str">
        <f ca="1">LEFT(tblGroupC[[#This Row],[Total_Group_Rank_Value]],7)</f>
        <v>1441111</v>
      </c>
      <c r="V31" s="27" t="str">
        <f ca="1">LEFT(tblGroupC[[#This Row],[Total_Group_Rank_Value]],8)</f>
        <v>14411111</v>
      </c>
      <c r="W31" s="27" t="b">
        <f ca="1">COUNTIF(tblGroupC[Group_Point_Rank_Value],tblGroupC[[#This Row],[Group_Point_Rank_Value]])&gt;1</f>
        <v>1</v>
      </c>
      <c r="X31" s="27" t="b">
        <f ca="1">COUNTIF(tblGroupC[Head_To_Head_Rank_Value],tblGroupC[[#This Row],[Head_To_Head_Rank_Value]])&gt;1</f>
        <v>1</v>
      </c>
      <c r="Y31" s="27" t="b">
        <f ca="1">COUNTIF(tblGroupC[Group_Goals_Rank_Value],tblGroupC[[#This Row],[Group_Goals_Rank_Value]])&gt;1</f>
        <v>1</v>
      </c>
      <c r="Z31" s="27" t="b">
        <f ca="1">COUNTIF(tblGroupC[Wins_Rank_Value],tblGroupC[[#This Row],[Wins_Rank_Value]])&gt;1</f>
        <v>1</v>
      </c>
      <c r="AA31" s="27" t="b">
        <f ca="1">COUNTIF(tblGroupC[Penalty_Rank_Value],tblGroupC[[#This Row],[Penalty_Rank_Value]])&gt;1</f>
        <v>1</v>
      </c>
      <c r="AB31" s="27" t="b">
        <f ca="1">COUNTIF(tblGroupC[Diciplinary_Rank_Value],tblGroupC[[#This Row],[Diciplinary_Rank_Value]])&gt;1</f>
        <v>1</v>
      </c>
      <c r="AC31" s="27" t="b">
        <f ca="1">COUNTIF(tblGroupC[Total_Group_Rank_Value],tblGroupC[[#This Row],[Total_Group_Rank_Value]])&gt;1</f>
        <v>0</v>
      </c>
      <c r="AD31" s="27" t="str">
        <f ca="1">IF(tblGroupC[[#This Row],[Points_Match]],IF(tblGroupC[[#This Row],[H2H_Match]],IF(tblGroupC[[#This Row],[Goals_Match]],IF(tblGroupC[[#This Row],[Wins_Match]],IF(tblGroupC[[#This Row],[Penalty_Match]],IF(tblGroupC[[#This Row],[Disciplinary_Match]],"Euro Qualifier Rank","Disciplinary Points ("&amp;tblGroupC[[#This Row],[Total_Diciplinary_Points]]&amp;")"),"Penalties"),"Wins ("&amp;tblGroupC[[#This Row],[Table_Won]]&amp;")"),""),"Head 2 Head ("&amp;tblGroupC[[#This Row],[Table_Head_to_Head_Rank]]&amp;")"),"")</f>
        <v>Euro Qualifier Rank</v>
      </c>
      <c r="AE31" s="27" t="b">
        <f ca="1">AND(tblGroupC[[#This Row],[Table_Position]]=3,COUNTIFS(tblGroupThirdPlace[Team_Number],tblGroupC[[#This Row],[Team_Number]],tblGroupThirdPlace[Table_Position],"&lt;5")&gt;0)</f>
        <v>0</v>
      </c>
      <c r="AH31" s="28" t="s">
        <v>346</v>
      </c>
      <c r="AI31" s="28" t="str">
        <f>TEXT(INDEX(tblGroupMatch[],MATCH(tblMatchesC[[#This Row],[Match_Code]],tblGroupMatch[Match_Code],0),MATCH("Date &amp; Time",tblGroupMatch[#Headers],0)),"ddd dd mmm hh:mm")&amp;" ("&amp;INDEX(tblGroupMatch[],MATCH(tblMatchesC[[#This Row],[Match_Code]],tblGroupMatch[Match_Code],0),MATCH("TV_Station",tblGroupMatch[#Headers],0))&amp;")"</f>
        <v>Sun 13 Jun 20:00 (iTV)</v>
      </c>
      <c r="AJ31" s="28" t="str">
        <f>INDEX(tblGroupMatch[],MATCH(tblMatchesC[[#This Row],[Match_Code]],tblGroupMatch[Match_Code],0),MATCH("Team A Name",tblGroupMatch[#Headers],0))</f>
        <v>Netherlands</v>
      </c>
      <c r="AK31" s="28" t="str">
        <f>INDEX(tblGroupMatch[],MATCH(tblMatchesC[[#This Row],[Match_Code]],tblGroupMatch[Match_Code],0),MATCH("Team A Goals",tblGroupMatch[#Headers],0))&amp;IF(AND(tblMatchesC[[#This Row],[Team A Penalties]]&gt;0,tblMatchesC[[#This Row],[Team B Penalties]]&gt;0)," (Pen "&amp;tblMatchesC[[#This Row],[Team A Penalties]]&amp;")","")</f>
        <v/>
      </c>
      <c r="AL31" s="28">
        <f>INDEX(tblGroupMatch[],MATCH(tblMatchesC[[#This Row],[Match_Code]],tblGroupMatch[Match_Code],0),MATCH("Team A Penalties",tblGroupMatch[#Headers],0))</f>
        <v>0</v>
      </c>
      <c r="AM31" s="28">
        <f>INDEX(tblGroupMatch[],MATCH(tblMatchesC[[#This Row],[Match_Code]],tblGroupMatch[Match_Code],0),MATCH("Team B Penalties",tblGroupMatch[#Headers],0))</f>
        <v>0</v>
      </c>
      <c r="AN31" s="28" t="str">
        <f>IF(AND(tblMatchesC[[#This Row],[Team A Penalties]]&gt;0,tblMatchesC[[#This Row],[Team B Penalties]]&gt;0),"(Pen "&amp;tblMatchesC[[#This Row],[Team B Penalties]]&amp;") ","")&amp;INDEX(tblGroupMatch[],MATCH(tblMatchesC[[#This Row],[Match_Code]],tblGroupMatch[Match_Code],0),MATCH("Team B Goals",tblGroupMatch[#Headers],0))</f>
        <v/>
      </c>
      <c r="AO31" s="28" t="str">
        <f>INDEX(tblGroupMatch[],MATCH(tblMatchesC[[#This Row],[Match_Code]],tblGroupMatch[Match_Code],0),MATCH("Team B Name",tblGroupMatch[#Headers],0))</f>
        <v>Ukraine</v>
      </c>
      <c r="AP31" s="28" t="str">
        <f>INDEX(tblGroupMatch[],MATCH(tblMatchesC[[#This Row],[Match_Code]],tblGroupMatch[Match_Code],0),MATCH("Venue",tblGroupMatch[#Headers],0))</f>
        <v>Johan Cruyff Arena (NET)</v>
      </c>
      <c r="AQ31" s="28" t="str">
        <f t="shared" ref="AQ31:AQ35" si="2">" - "</f>
        <v xml:space="preserve"> - </v>
      </c>
      <c r="AS31" s="45"/>
      <c r="AT31" s="45"/>
      <c r="AU31" s="45"/>
      <c r="AV31" s="45"/>
      <c r="AW31" s="45"/>
      <c r="AX31" s="45"/>
      <c r="AY31" s="45"/>
      <c r="AZ31" s="45"/>
      <c r="BA31" s="45"/>
      <c r="BB31" s="45"/>
      <c r="BC31" s="45"/>
      <c r="BD31" s="45"/>
      <c r="BE31" s="45"/>
      <c r="BF31" s="45"/>
      <c r="BG31" s="45"/>
      <c r="BH31" s="45"/>
      <c r="BI31" s="45"/>
      <c r="BJ31" s="45"/>
      <c r="BK31" s="45"/>
      <c r="BL31" s="45"/>
      <c r="BM31" s="45"/>
      <c r="BN31" s="45"/>
      <c r="BO31" s="45"/>
    </row>
    <row r="32" spans="2:67" x14ac:dyDescent="0.3">
      <c r="B32" s="27" t="s">
        <v>225</v>
      </c>
      <c r="C32" s="27">
        <f ca="1">INDEX(tblGroupTotals[],MATCH(tblGroupC[[#This Row],[Table_Rank_Code]],tblGroupTotals[Table_Rank_Code],0),MATCH("Team_Number",tblGroupTotals[#Headers],0))</f>
        <v>9</v>
      </c>
      <c r="D32" s="27">
        <v>3</v>
      </c>
      <c r="E32" s="27" t="str">
        <f ca="1">INDEX(lkupTeam[],MATCH(tblGroupC[[#This Row],[Team_Number]],lkupTeam[Team_Number],0),MATCH("Team",lkupTeam[#Headers],0))</f>
        <v>Austria</v>
      </c>
      <c r="F32" s="27">
        <f ca="1">INDEX(tblGroupTotals[],MATCH(tblGroupC[[#This Row],[Table_Rank_Code]],tblGroupTotals[Table_Rank_Code],0),MATCH("Total_Games",tblGroupTotals[#Headers],0))</f>
        <v>0</v>
      </c>
      <c r="G32" s="27">
        <f ca="1">INDEX(tblGroupTotals[],MATCH(tblGroupC[[#This Row],[Table_Rank_Code]],tblGroupTotals[Table_Rank_Code],0),MATCH("Total_Wins",tblGroupTotals[#Headers],0))</f>
        <v>0</v>
      </c>
      <c r="H32" s="27">
        <f ca="1">INDEX(tblGroupTotals[],MATCH(tblGroupC[[#This Row],[Table_Rank_Code]],tblGroupTotals[Table_Rank_Code],0),MATCH("Total_Draws",tblGroupTotals[#Headers],0))</f>
        <v>0</v>
      </c>
      <c r="I32" s="27">
        <f ca="1">INDEX(tblGroupTotals[],MATCH(tblGroupC[[#This Row],[Table_Rank_Code]],tblGroupTotals[Table_Rank_Code],0),MATCH("Total_Loses",tblGroupTotals[#Headers],0))</f>
        <v>0</v>
      </c>
      <c r="J32" s="27">
        <f ca="1">INDEX(tblGroupTotals[],MATCH(tblGroupC[[#This Row],[Table_Rank_Code]],tblGroupTotals[Table_Rank_Code],0),MATCH("Total_Goals_For",tblGroupTotals[#Headers],0))</f>
        <v>0</v>
      </c>
      <c r="K32" s="27">
        <f ca="1">INDEX(tblGroupTotals[],MATCH(tblGroupC[[#This Row],[Table_Rank_Code]],tblGroupTotals[Table_Rank_Code],0),MATCH("Total_Goals_Against",tblGroupTotals[#Headers],0))</f>
        <v>0</v>
      </c>
      <c r="L32" s="27">
        <f ca="1">INDEX(tblGroupTotals[],MATCH(tblGroupC[[#This Row],[Table_Rank_Code]],tblGroupTotals[Table_Rank_Code],0),MATCH("Goal_Difference",tblGroupTotals[#Headers],0))</f>
        <v>0</v>
      </c>
      <c r="M32" s="27">
        <f ca="1">INDEX(tblGroupTotals[],MATCH(tblGroupC[[#This Row],[Table_Rank_Code]],tblGroupTotals[Table_Rank_Code],0),MATCH("Total_Points",tblGroupTotals[#Headers],0))</f>
        <v>0</v>
      </c>
      <c r="N32" s="27" t="str">
        <f ca="1">IF(INDEX(tblGroupTotals[],MATCH(tblGroupC[[#This Row],[Table_Rank_Code]],tblGroupTotals[Table_Rank_Code],0),MATCH("Group_Points_TieBreak_Rank_1",tblGroupTotals[#Headers],0))&lt;&gt;4,INDEX(tblGroupTotals[],MATCH(tblGroupC[[#This Row],[Table_Rank_Code]],tblGroupTotals[Table_Rank_Code],0),MATCH("Group_Points_TieBreak_Rank_1",tblGroupTotals[#Headers],0)),"")</f>
        <v/>
      </c>
      <c r="O32" s="27">
        <f ca="1">INDEX(tblGroupTotals[],MATCH(tblGroupC[[#This Row],[Table_Rank_Code]],tblGroupTotals[Table_Rank_Code],0),MATCH("Total_Diciplinary_Points",tblGroupTotals[#Headers],0))</f>
        <v>0</v>
      </c>
      <c r="P32" s="27">
        <f ca="1">INDEX(tblGroupTotals[],MATCH(tblGroupC[[#This Row],[Table_Rank_Code]],tblGroupTotals[Table_Rank_Code],0),MATCH("Total_Group_Rank_Value",tblGroupTotals[#Headers],0))</f>
        <v>144111113</v>
      </c>
      <c r="Q32" s="27" t="str">
        <f ca="1">LEFT(tblGroupC[[#This Row],[Total_Group_Rank_Value]],1)</f>
        <v>1</v>
      </c>
      <c r="R32" s="27" t="str">
        <f ca="1">LEFT(tblGroupC[[#This Row],[Total_Group_Rank_Value]],3)</f>
        <v>144</v>
      </c>
      <c r="S32" s="27" t="str">
        <f ca="1">LEFT(tblGroupC[[#This Row],[Total_Group_Rank_Value]],5)</f>
        <v>14411</v>
      </c>
      <c r="T32" s="27" t="str">
        <f ca="1">LEFT(tblGroupC[[#This Row],[Total_Group_Rank_Value]],6)</f>
        <v>144111</v>
      </c>
      <c r="U32" s="27" t="str">
        <f ca="1">LEFT(tblGroupC[[#This Row],[Total_Group_Rank_Value]],7)</f>
        <v>1441111</v>
      </c>
      <c r="V32" s="27" t="str">
        <f ca="1">LEFT(tblGroupC[[#This Row],[Total_Group_Rank_Value]],8)</f>
        <v>14411111</v>
      </c>
      <c r="W32" s="27" t="b">
        <f ca="1">COUNTIF(tblGroupC[Group_Point_Rank_Value],tblGroupC[[#This Row],[Group_Point_Rank_Value]])&gt;1</f>
        <v>1</v>
      </c>
      <c r="X32" s="27" t="b">
        <f ca="1">COUNTIF(tblGroupC[Head_To_Head_Rank_Value],tblGroupC[[#This Row],[Head_To_Head_Rank_Value]])&gt;1</f>
        <v>1</v>
      </c>
      <c r="Y32" s="27" t="b">
        <f ca="1">COUNTIF(tblGroupC[Group_Goals_Rank_Value],tblGroupC[[#This Row],[Group_Goals_Rank_Value]])&gt;1</f>
        <v>1</v>
      </c>
      <c r="Z32" s="27" t="b">
        <f ca="1">COUNTIF(tblGroupC[Wins_Rank_Value],tblGroupC[[#This Row],[Wins_Rank_Value]])&gt;1</f>
        <v>1</v>
      </c>
      <c r="AA32" s="27" t="b">
        <f ca="1">COUNTIF(tblGroupC[Penalty_Rank_Value],tblGroupC[[#This Row],[Penalty_Rank_Value]])&gt;1</f>
        <v>1</v>
      </c>
      <c r="AB32" s="27" t="b">
        <f ca="1">COUNTIF(tblGroupC[Diciplinary_Rank_Value],tblGroupC[[#This Row],[Diciplinary_Rank_Value]])&gt;1</f>
        <v>1</v>
      </c>
      <c r="AC32" s="27" t="b">
        <f ca="1">COUNTIF(tblGroupC[Total_Group_Rank_Value],tblGroupC[[#This Row],[Total_Group_Rank_Value]])&gt;1</f>
        <v>0</v>
      </c>
      <c r="AD32" s="27" t="str">
        <f ca="1">IF(tblGroupC[[#This Row],[Points_Match]],IF(tblGroupC[[#This Row],[H2H_Match]],IF(tblGroupC[[#This Row],[Goals_Match]],IF(tblGroupC[[#This Row],[Wins_Match]],IF(tblGroupC[[#This Row],[Penalty_Match]],IF(tblGroupC[[#This Row],[Disciplinary_Match]],"Euro Qualifier Rank","Disciplinary Points ("&amp;tblGroupC[[#This Row],[Total_Diciplinary_Points]]&amp;")"),"Penalties"),"Wins ("&amp;tblGroupC[[#This Row],[Table_Won]]&amp;")"),""),"Head 2 Head ("&amp;tblGroupC[[#This Row],[Table_Head_to_Head_Rank]]&amp;")"),"")</f>
        <v>Euro Qualifier Rank</v>
      </c>
      <c r="AE32" s="27" t="b">
        <f ca="1">AND(tblGroupC[[#This Row],[Table_Position]]=3,COUNTIFS(tblGroupThirdPlace[Team_Number],tblGroupC[[#This Row],[Team_Number]],tblGroupThirdPlace[Table_Position],"&lt;5")&gt;0)</f>
        <v>1</v>
      </c>
      <c r="AH32" s="28" t="s">
        <v>347</v>
      </c>
      <c r="AI32" s="28" t="str">
        <f>TEXT(INDEX(tblGroupMatch[],MATCH(tblMatchesC[[#This Row],[Match_Code]],tblGroupMatch[Match_Code],0),MATCH("Date &amp; Time",tblGroupMatch[#Headers],0)),"ddd dd mmm hh:mm")&amp;" ("&amp;INDEX(tblGroupMatch[],MATCH(tblMatchesC[[#This Row],[Match_Code]],tblGroupMatch[Match_Code],0),MATCH("TV_Station",tblGroupMatch[#Headers],0))&amp;")"</f>
        <v>Thu 17 Jun 14:00 (iTV)</v>
      </c>
      <c r="AJ32" s="28" t="str">
        <f>INDEX(tblGroupMatch[],MATCH(tblMatchesC[[#This Row],[Match_Code]],tblGroupMatch[Match_Code],0),MATCH("Team A Name",tblGroupMatch[#Headers],0))</f>
        <v>Ukraine</v>
      </c>
      <c r="AK32" s="28" t="str">
        <f>INDEX(tblGroupMatch[],MATCH(tblMatchesC[[#This Row],[Match_Code]],tblGroupMatch[Match_Code],0),MATCH("Team A Goals",tblGroupMatch[#Headers],0))&amp;IF(AND(tblMatchesC[[#This Row],[Team A Penalties]]&gt;0,tblMatchesC[[#This Row],[Team B Penalties]]&gt;0)," (Pen "&amp;tblMatchesC[[#This Row],[Team A Penalties]]&amp;")","")</f>
        <v/>
      </c>
      <c r="AL32" s="28">
        <f>INDEX(tblGroupMatch[],MATCH(tblMatchesC[[#This Row],[Match_Code]],tblGroupMatch[Match_Code],0),MATCH("Team A Penalties",tblGroupMatch[#Headers],0))</f>
        <v>0</v>
      </c>
      <c r="AM32" s="28">
        <f>INDEX(tblGroupMatch[],MATCH(tblMatchesC[[#This Row],[Match_Code]],tblGroupMatch[Match_Code],0),MATCH("Team B Penalties",tblGroupMatch[#Headers],0))</f>
        <v>0</v>
      </c>
      <c r="AN32" s="28" t="str">
        <f>IF(AND(tblMatchesC[[#This Row],[Team A Penalties]]&gt;0,tblMatchesC[[#This Row],[Team B Penalties]]&gt;0),"(Pen "&amp;tblMatchesC[[#This Row],[Team B Penalties]]&amp;") ","")&amp;INDEX(tblGroupMatch[],MATCH(tblMatchesC[[#This Row],[Match_Code]],tblGroupMatch[Match_Code],0),MATCH("Team B Goals",tblGroupMatch[#Headers],0))</f>
        <v/>
      </c>
      <c r="AO32" s="28" t="str">
        <f>INDEX(tblGroupMatch[],MATCH(tblMatchesC[[#This Row],[Match_Code]],tblGroupMatch[Match_Code],0),MATCH("Team B Name",tblGroupMatch[#Headers],0))</f>
        <v>North Macedonia</v>
      </c>
      <c r="AP32" s="28" t="str">
        <f>INDEX(tblGroupMatch[],MATCH(tblMatchesC[[#This Row],[Match_Code]],tblGroupMatch[Match_Code],0),MATCH("Venue",tblGroupMatch[#Headers],0))</f>
        <v>Arean Nationala (ROM)</v>
      </c>
      <c r="AQ32" s="28" t="str">
        <f t="shared" si="2"/>
        <v xml:space="preserve"> - </v>
      </c>
      <c r="AS32" s="45"/>
      <c r="AT32" s="45"/>
      <c r="AU32" s="45"/>
      <c r="AV32" s="45"/>
      <c r="AW32" s="45"/>
      <c r="AX32" s="45"/>
      <c r="AY32" s="45"/>
      <c r="AZ32" s="45"/>
      <c r="BA32" s="45"/>
      <c r="BB32" s="45"/>
      <c r="BC32" s="45"/>
      <c r="BD32" s="45"/>
      <c r="BE32" s="45"/>
      <c r="BF32" s="45"/>
      <c r="BG32" s="45"/>
      <c r="BH32" s="45"/>
      <c r="BI32" s="45"/>
      <c r="BJ32" s="45"/>
      <c r="BK32" s="45"/>
      <c r="BL32" s="45"/>
      <c r="BM32" s="45"/>
      <c r="BN32" s="45"/>
      <c r="BO32" s="45"/>
    </row>
    <row r="33" spans="2:67" x14ac:dyDescent="0.3">
      <c r="B33" s="27" t="s">
        <v>226</v>
      </c>
      <c r="C33" s="27">
        <f ca="1">INDEX(tblGroupTotals[],MATCH(tblGroupC[[#This Row],[Table_Rank_Code]],tblGroupTotals[Table_Rank_Code],0),MATCH("Team_Number",tblGroupTotals[#Headers],0))</f>
        <v>10</v>
      </c>
      <c r="D33" s="27">
        <v>4</v>
      </c>
      <c r="E33" s="27" t="str">
        <f ca="1">INDEX(lkupTeam[],MATCH(tblGroupC[[#This Row],[Team_Number]],lkupTeam[Team_Number],0),MATCH("Team",lkupTeam[#Headers],0))</f>
        <v>North Macedonia</v>
      </c>
      <c r="F33" s="27">
        <f ca="1">INDEX(tblGroupTotals[],MATCH(tblGroupC[[#This Row],[Table_Rank_Code]],tblGroupTotals[Table_Rank_Code],0),MATCH("Total_Games",tblGroupTotals[#Headers],0))</f>
        <v>0</v>
      </c>
      <c r="G33" s="27">
        <f ca="1">INDEX(tblGroupTotals[],MATCH(tblGroupC[[#This Row],[Table_Rank_Code]],tblGroupTotals[Table_Rank_Code],0),MATCH("Total_Wins",tblGroupTotals[#Headers],0))</f>
        <v>0</v>
      </c>
      <c r="H33" s="27">
        <f ca="1">INDEX(tblGroupTotals[],MATCH(tblGroupC[[#This Row],[Table_Rank_Code]],tblGroupTotals[Table_Rank_Code],0),MATCH("Total_Draws",tblGroupTotals[#Headers],0))</f>
        <v>0</v>
      </c>
      <c r="I33" s="27">
        <f ca="1">INDEX(tblGroupTotals[],MATCH(tblGroupC[[#This Row],[Table_Rank_Code]],tblGroupTotals[Table_Rank_Code],0),MATCH("Total_Loses",tblGroupTotals[#Headers],0))</f>
        <v>0</v>
      </c>
      <c r="J33" s="27">
        <f ca="1">INDEX(tblGroupTotals[],MATCH(tblGroupC[[#This Row],[Table_Rank_Code]],tblGroupTotals[Table_Rank_Code],0),MATCH("Total_Goals_For",tblGroupTotals[#Headers],0))</f>
        <v>0</v>
      </c>
      <c r="K33" s="27">
        <f ca="1">INDEX(tblGroupTotals[],MATCH(tblGroupC[[#This Row],[Table_Rank_Code]],tblGroupTotals[Table_Rank_Code],0),MATCH("Total_Goals_Against",tblGroupTotals[#Headers],0))</f>
        <v>0</v>
      </c>
      <c r="L33" s="27">
        <f ca="1">INDEX(tblGroupTotals[],MATCH(tblGroupC[[#This Row],[Table_Rank_Code]],tblGroupTotals[Table_Rank_Code],0),MATCH("Goal_Difference",tblGroupTotals[#Headers],0))</f>
        <v>0</v>
      </c>
      <c r="M33" s="27">
        <f ca="1">INDEX(tblGroupTotals[],MATCH(tblGroupC[[#This Row],[Table_Rank_Code]],tblGroupTotals[Table_Rank_Code],0),MATCH("Total_Points",tblGroupTotals[#Headers],0))</f>
        <v>0</v>
      </c>
      <c r="N33" s="27" t="str">
        <f ca="1">IF(INDEX(tblGroupTotals[],MATCH(tblGroupC[[#This Row],[Table_Rank_Code]],tblGroupTotals[Table_Rank_Code],0),MATCH("Group_Points_TieBreak_Rank_1",tblGroupTotals[#Headers],0))&lt;&gt;4,INDEX(tblGroupTotals[],MATCH(tblGroupC[[#This Row],[Table_Rank_Code]],tblGroupTotals[Table_Rank_Code],0),MATCH("Group_Points_TieBreak_Rank_1",tblGroupTotals[#Headers],0)),"")</f>
        <v/>
      </c>
      <c r="O33" s="27">
        <f ca="1">INDEX(tblGroupTotals[],MATCH(tblGroupC[[#This Row],[Table_Rank_Code]],tblGroupTotals[Table_Rank_Code],0),MATCH("Total_Diciplinary_Points",tblGroupTotals[#Headers],0))</f>
        <v>0</v>
      </c>
      <c r="P33" s="27">
        <f ca="1">INDEX(tblGroupTotals[],MATCH(tblGroupC[[#This Row],[Table_Rank_Code]],tblGroupTotals[Table_Rank_Code],0),MATCH("Total_Group_Rank_Value",tblGroupTotals[#Headers],0))</f>
        <v>144111114</v>
      </c>
      <c r="Q33" s="27" t="str">
        <f ca="1">LEFT(tblGroupC[[#This Row],[Total_Group_Rank_Value]],1)</f>
        <v>1</v>
      </c>
      <c r="R33" s="27" t="str">
        <f ca="1">LEFT(tblGroupC[[#This Row],[Total_Group_Rank_Value]],3)</f>
        <v>144</v>
      </c>
      <c r="S33" s="27" t="str">
        <f ca="1">LEFT(tblGroupC[[#This Row],[Total_Group_Rank_Value]],5)</f>
        <v>14411</v>
      </c>
      <c r="T33" s="27" t="str">
        <f ca="1">LEFT(tblGroupC[[#This Row],[Total_Group_Rank_Value]],6)</f>
        <v>144111</v>
      </c>
      <c r="U33" s="27" t="str">
        <f ca="1">LEFT(tblGroupC[[#This Row],[Total_Group_Rank_Value]],7)</f>
        <v>1441111</v>
      </c>
      <c r="V33" s="27" t="str">
        <f ca="1">LEFT(tblGroupC[[#This Row],[Total_Group_Rank_Value]],8)</f>
        <v>14411111</v>
      </c>
      <c r="W33" s="27" t="b">
        <f ca="1">COUNTIF(tblGroupC[Group_Point_Rank_Value],tblGroupC[[#This Row],[Group_Point_Rank_Value]])&gt;1</f>
        <v>1</v>
      </c>
      <c r="X33" s="27" t="b">
        <f ca="1">COUNTIF(tblGroupC[Head_To_Head_Rank_Value],tblGroupC[[#This Row],[Head_To_Head_Rank_Value]])&gt;1</f>
        <v>1</v>
      </c>
      <c r="Y33" s="27" t="b">
        <f ca="1">COUNTIF(tblGroupC[Group_Goals_Rank_Value],tblGroupC[[#This Row],[Group_Goals_Rank_Value]])&gt;1</f>
        <v>1</v>
      </c>
      <c r="Z33" s="27" t="b">
        <f ca="1">COUNTIF(tblGroupC[Wins_Rank_Value],tblGroupC[[#This Row],[Wins_Rank_Value]])&gt;1</f>
        <v>1</v>
      </c>
      <c r="AA33" s="27" t="b">
        <f ca="1">COUNTIF(tblGroupC[Penalty_Rank_Value],tblGroupC[[#This Row],[Penalty_Rank_Value]])&gt;1</f>
        <v>1</v>
      </c>
      <c r="AB33" s="27" t="b">
        <f ca="1">COUNTIF(tblGroupC[Diciplinary_Rank_Value],tblGroupC[[#This Row],[Diciplinary_Rank_Value]])&gt;1</f>
        <v>1</v>
      </c>
      <c r="AC33" s="27" t="b">
        <f ca="1">COUNTIF(tblGroupC[Total_Group_Rank_Value],tblGroupC[[#This Row],[Total_Group_Rank_Value]])&gt;1</f>
        <v>0</v>
      </c>
      <c r="AD33" s="27" t="str">
        <f ca="1">IF(tblGroupC[[#This Row],[Points_Match]],IF(tblGroupC[[#This Row],[H2H_Match]],IF(tblGroupC[[#This Row],[Goals_Match]],IF(tblGroupC[[#This Row],[Wins_Match]],IF(tblGroupC[[#This Row],[Penalty_Match]],IF(tblGroupC[[#This Row],[Disciplinary_Match]],"Euro Qualifier Rank","Disciplinary Points ("&amp;tblGroupC[[#This Row],[Total_Diciplinary_Points]]&amp;")"),"Penalties"),"Wins ("&amp;tblGroupC[[#This Row],[Table_Won]]&amp;")"),""),"Head 2 Head ("&amp;tblGroupC[[#This Row],[Table_Head_to_Head_Rank]]&amp;")"),"")</f>
        <v>Euro Qualifier Rank</v>
      </c>
      <c r="AE33" s="27" t="b">
        <f ca="1">AND(tblGroupC[[#This Row],[Table_Position]]=3,COUNTIFS(tblGroupThirdPlace[Team_Number],tblGroupC[[#This Row],[Team_Number]],tblGroupThirdPlace[Table_Position],"&lt;5")&gt;0)</f>
        <v>0</v>
      </c>
      <c r="AH33" s="28" t="s">
        <v>348</v>
      </c>
      <c r="AI33" s="28" t="str">
        <f>TEXT(INDEX(tblGroupMatch[],MATCH(tblMatchesC[[#This Row],[Match_Code]],tblGroupMatch[Match_Code],0),MATCH("Date &amp; Time",tblGroupMatch[#Headers],0)),"ddd dd mmm hh:mm")&amp;" ("&amp;INDEX(tblGroupMatch[],MATCH(tblMatchesC[[#This Row],[Match_Code]],tblGroupMatch[Match_Code],0),MATCH("TV_Station",tblGroupMatch[#Headers],0))&amp;")"</f>
        <v>Thu 17 Jun 20:00 (BBC)</v>
      </c>
      <c r="AJ33" s="28" t="str">
        <f>INDEX(tblGroupMatch[],MATCH(tblMatchesC[[#This Row],[Match_Code]],tblGroupMatch[Match_Code],0),MATCH("Team A Name",tblGroupMatch[#Headers],0))</f>
        <v>Netherlands</v>
      </c>
      <c r="AK33" s="28" t="str">
        <f>INDEX(tblGroupMatch[],MATCH(tblMatchesC[[#This Row],[Match_Code]],tblGroupMatch[Match_Code],0),MATCH("Team A Goals",tblGroupMatch[#Headers],0))&amp;IF(AND(tblMatchesC[[#This Row],[Team A Penalties]]&gt;0,tblMatchesC[[#This Row],[Team B Penalties]]&gt;0)," (Pen "&amp;tblMatchesC[[#This Row],[Team A Penalties]]&amp;")","")</f>
        <v/>
      </c>
      <c r="AL33" s="28">
        <f>INDEX(tblGroupMatch[],MATCH(tblMatchesC[[#This Row],[Match_Code]],tblGroupMatch[Match_Code],0),MATCH("Team A Penalties",tblGroupMatch[#Headers],0))</f>
        <v>0</v>
      </c>
      <c r="AM33" s="28">
        <f>INDEX(tblGroupMatch[],MATCH(tblMatchesC[[#This Row],[Match_Code]],tblGroupMatch[Match_Code],0),MATCH("Team B Penalties",tblGroupMatch[#Headers],0))</f>
        <v>0</v>
      </c>
      <c r="AN33" s="28" t="str">
        <f>IF(AND(tblMatchesC[[#This Row],[Team A Penalties]]&gt;0,tblMatchesC[[#This Row],[Team B Penalties]]&gt;0),"(Pen "&amp;tblMatchesC[[#This Row],[Team B Penalties]]&amp;") ","")&amp;INDEX(tblGroupMatch[],MATCH(tblMatchesC[[#This Row],[Match_Code]],tblGroupMatch[Match_Code],0),MATCH("Team B Goals",tblGroupMatch[#Headers],0))</f>
        <v/>
      </c>
      <c r="AO33" s="28" t="str">
        <f>INDEX(tblGroupMatch[],MATCH(tblMatchesC[[#This Row],[Match_Code]],tblGroupMatch[Match_Code],0),MATCH("Team B Name",tblGroupMatch[#Headers],0))</f>
        <v>Austria</v>
      </c>
      <c r="AP33" s="28" t="str">
        <f>INDEX(tblGroupMatch[],MATCH(tblMatchesC[[#This Row],[Match_Code]],tblGroupMatch[Match_Code],0),MATCH("Venue",tblGroupMatch[#Headers],0))</f>
        <v>Johan Cruyff Arena (NET)</v>
      </c>
      <c r="AQ33" s="28" t="str">
        <f t="shared" si="2"/>
        <v xml:space="preserve"> - </v>
      </c>
      <c r="AS33" s="45"/>
      <c r="AT33" s="45"/>
      <c r="AU33" s="45"/>
      <c r="AV33" s="45"/>
      <c r="AW33" s="45"/>
      <c r="AX33" s="45"/>
      <c r="AY33" s="45"/>
      <c r="AZ33" s="45"/>
      <c r="BA33" s="45"/>
      <c r="BB33" s="45"/>
      <c r="BC33" s="45"/>
      <c r="BD33" s="45"/>
      <c r="BE33" s="45"/>
      <c r="BF33" s="45"/>
      <c r="BG33" s="45"/>
      <c r="BH33" s="45"/>
      <c r="BI33" s="45"/>
      <c r="BJ33" s="45"/>
      <c r="BK33" s="45"/>
      <c r="BL33" s="45"/>
      <c r="BM33" s="45"/>
      <c r="BN33" s="45"/>
      <c r="BO33" s="45"/>
    </row>
    <row r="34" spans="2:67" x14ac:dyDescent="0.3">
      <c r="AH34" s="28" t="s">
        <v>349</v>
      </c>
      <c r="AI34" s="28" t="str">
        <f>TEXT(INDEX(tblGroupMatch[],MATCH(tblMatchesC[[#This Row],[Match_Code]],tblGroupMatch[Match_Code],0),MATCH("Date &amp; Time",tblGroupMatch[#Headers],0)),"ddd dd mmm hh:mm")&amp;" ("&amp;INDEX(tblGroupMatch[],MATCH(tblMatchesC[[#This Row],[Match_Code]],tblGroupMatch[Match_Code],0),MATCH("TV_Station",tblGroupMatch[#Headers],0))&amp;")"</f>
        <v>Mon 21 Jun 17:00 (iTV)</v>
      </c>
      <c r="AJ34" s="28" t="str">
        <f>INDEX(tblGroupMatch[],MATCH(tblMatchesC[[#This Row],[Match_Code]],tblGroupMatch[Match_Code],0),MATCH("Team A Name",tblGroupMatch[#Headers],0))</f>
        <v>North Macedonia</v>
      </c>
      <c r="AK34" s="28" t="str">
        <f>INDEX(tblGroupMatch[],MATCH(tblMatchesC[[#This Row],[Match_Code]],tblGroupMatch[Match_Code],0),MATCH("Team A Goals",tblGroupMatch[#Headers],0))&amp;IF(AND(tblMatchesC[[#This Row],[Team A Penalties]]&gt;0,tblMatchesC[[#This Row],[Team B Penalties]]&gt;0)," (Pen "&amp;tblMatchesC[[#This Row],[Team A Penalties]]&amp;")","")</f>
        <v/>
      </c>
      <c r="AL34" s="28">
        <f>INDEX(tblGroupMatch[],MATCH(tblMatchesC[[#This Row],[Match_Code]],tblGroupMatch[Match_Code],0),MATCH("Team A Penalties",tblGroupMatch[#Headers],0))</f>
        <v>0</v>
      </c>
      <c r="AM34" s="28">
        <f>INDEX(tblGroupMatch[],MATCH(tblMatchesC[[#This Row],[Match_Code]],tblGroupMatch[Match_Code],0),MATCH("Team B Penalties",tblGroupMatch[#Headers],0))</f>
        <v>0</v>
      </c>
      <c r="AN34" s="28" t="str">
        <f>IF(AND(tblMatchesC[[#This Row],[Team A Penalties]]&gt;0,tblMatchesC[[#This Row],[Team B Penalties]]&gt;0),"(Pen "&amp;tblMatchesC[[#This Row],[Team B Penalties]]&amp;") ","")&amp;INDEX(tblGroupMatch[],MATCH(tblMatchesC[[#This Row],[Match_Code]],tblGroupMatch[Match_Code],0),MATCH("Team B Goals",tblGroupMatch[#Headers],0))</f>
        <v/>
      </c>
      <c r="AO34" s="28" t="str">
        <f>INDEX(tblGroupMatch[],MATCH(tblMatchesC[[#This Row],[Match_Code]],tblGroupMatch[Match_Code],0),MATCH("Team B Name",tblGroupMatch[#Headers],0))</f>
        <v>Netherlands</v>
      </c>
      <c r="AP34" s="28" t="str">
        <f>INDEX(tblGroupMatch[],MATCH(tblMatchesC[[#This Row],[Match_Code]],tblGroupMatch[Match_Code],0),MATCH("Venue",tblGroupMatch[#Headers],0))</f>
        <v>Johan Cruyff Arena (NET)</v>
      </c>
      <c r="AQ34" s="28" t="str">
        <f t="shared" si="2"/>
        <v xml:space="preserve"> - </v>
      </c>
      <c r="AS34" s="45"/>
      <c r="AT34" s="45"/>
      <c r="AU34" s="45"/>
      <c r="AV34" s="45"/>
      <c r="AW34" s="45"/>
      <c r="AX34" s="45"/>
      <c r="AY34" s="45"/>
      <c r="AZ34" s="45"/>
      <c r="BA34" s="45"/>
      <c r="BB34" s="45"/>
      <c r="BC34" s="45"/>
      <c r="BD34" s="45"/>
      <c r="BE34" s="45"/>
      <c r="BF34" s="45"/>
      <c r="BG34" s="45"/>
      <c r="BH34" s="45"/>
      <c r="BI34" s="45"/>
      <c r="BJ34" s="45"/>
      <c r="BK34" s="45"/>
      <c r="BL34" s="45"/>
      <c r="BM34" s="45"/>
      <c r="BN34" s="45"/>
      <c r="BO34" s="45"/>
    </row>
    <row r="35" spans="2:67" x14ac:dyDescent="0.3">
      <c r="AH35" s="28" t="s">
        <v>350</v>
      </c>
      <c r="AI35" s="28" t="str">
        <f>TEXT(INDEX(tblGroupMatch[],MATCH(tblMatchesC[[#This Row],[Match_Code]],tblGroupMatch[Match_Code],0),MATCH("Date &amp; Time",tblGroupMatch[#Headers],0)),"ddd dd mmm hh:mm")&amp;" ("&amp;INDEX(tblGroupMatch[],MATCH(tblMatchesC[[#This Row],[Match_Code]],tblGroupMatch[Match_Code],0),MATCH("TV_Station",tblGroupMatch[#Headers],0))&amp;")"</f>
        <v>Mon 21 Jun 17:00 (iTV)</v>
      </c>
      <c r="AJ35" s="28" t="str">
        <f>INDEX(tblGroupMatch[],MATCH(tblMatchesC[[#This Row],[Match_Code]],tblGroupMatch[Match_Code],0),MATCH("Team A Name",tblGroupMatch[#Headers],0))</f>
        <v>Ukraine</v>
      </c>
      <c r="AK35" s="28" t="str">
        <f>INDEX(tblGroupMatch[],MATCH(tblMatchesC[[#This Row],[Match_Code]],tblGroupMatch[Match_Code],0),MATCH("Team A Goals",tblGroupMatch[#Headers],0))&amp;IF(AND(tblMatchesC[[#This Row],[Team A Penalties]]&gt;0,tblMatchesC[[#This Row],[Team B Penalties]]&gt;0)," (Pen "&amp;tblMatchesC[[#This Row],[Team A Penalties]]&amp;")","")</f>
        <v/>
      </c>
      <c r="AL35" s="28">
        <f>INDEX(tblGroupMatch[],MATCH(tblMatchesC[[#This Row],[Match_Code]],tblGroupMatch[Match_Code],0),MATCH("Team A Penalties",tblGroupMatch[#Headers],0))</f>
        <v>0</v>
      </c>
      <c r="AM35" s="28">
        <f>INDEX(tblGroupMatch[],MATCH(tblMatchesC[[#This Row],[Match_Code]],tblGroupMatch[Match_Code],0),MATCH("Team B Penalties",tblGroupMatch[#Headers],0))</f>
        <v>0</v>
      </c>
      <c r="AN35" s="28" t="str">
        <f>IF(AND(tblMatchesC[[#This Row],[Team A Penalties]]&gt;0,tblMatchesC[[#This Row],[Team B Penalties]]&gt;0),"(Pen "&amp;tblMatchesC[[#This Row],[Team B Penalties]]&amp;") ","")&amp;INDEX(tblGroupMatch[],MATCH(tblMatchesC[[#This Row],[Match_Code]],tblGroupMatch[Match_Code],0),MATCH("Team B Goals",tblGroupMatch[#Headers],0))</f>
        <v/>
      </c>
      <c r="AO35" s="28" t="str">
        <f>INDEX(tblGroupMatch[],MATCH(tblMatchesC[[#This Row],[Match_Code]],tblGroupMatch[Match_Code],0),MATCH("Team B Name",tblGroupMatch[#Headers],0))</f>
        <v>Austria</v>
      </c>
      <c r="AP35" s="28" t="str">
        <f>INDEX(tblGroupMatch[],MATCH(tblMatchesC[[#This Row],[Match_Code]],tblGroupMatch[Match_Code],0),MATCH("Venue",tblGroupMatch[#Headers],0))</f>
        <v>Arean Nationala (ROM)</v>
      </c>
      <c r="AQ35" s="28" t="str">
        <f t="shared" si="2"/>
        <v xml:space="preserve"> - </v>
      </c>
      <c r="AS35" s="45"/>
      <c r="AT35" s="45"/>
      <c r="AU35" s="45"/>
      <c r="AV35" s="45"/>
      <c r="AW35" s="45"/>
      <c r="AX35" s="45"/>
      <c r="AY35" s="45"/>
      <c r="AZ35" s="45"/>
      <c r="BA35" s="45"/>
      <c r="BB35" s="45"/>
      <c r="BC35" s="45"/>
      <c r="BD35" s="45"/>
      <c r="BE35" s="45"/>
      <c r="BF35" s="45"/>
      <c r="BG35" s="45"/>
      <c r="BH35" s="45"/>
      <c r="BI35" s="45"/>
      <c r="BJ35" s="45"/>
      <c r="BK35" s="45"/>
      <c r="BL35" s="45"/>
      <c r="BM35" s="45"/>
      <c r="BN35" s="45"/>
      <c r="BO35" s="45"/>
    </row>
    <row r="36" spans="2:67" s="45" customFormat="1" x14ac:dyDescent="0.3">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4"/>
      <c r="AE36" s="44"/>
      <c r="AH36" s="46"/>
      <c r="AI36" s="46"/>
      <c r="AJ36" s="46"/>
      <c r="AK36" s="46"/>
      <c r="AL36" s="46"/>
      <c r="AM36" s="46"/>
      <c r="AN36" s="46"/>
      <c r="AO36" s="46"/>
      <c r="AP36" s="46"/>
      <c r="AQ36" s="46"/>
    </row>
    <row r="37" spans="2:67" s="45" customFormat="1" x14ac:dyDescent="0.3">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4"/>
      <c r="AE37" s="44"/>
      <c r="AH37" s="46"/>
      <c r="AI37" s="46"/>
      <c r="AJ37" s="46"/>
      <c r="AK37" s="46"/>
      <c r="AL37" s="46"/>
      <c r="AM37" s="46"/>
      <c r="AN37" s="46"/>
      <c r="AO37" s="46"/>
      <c r="AP37" s="46"/>
      <c r="AQ37" s="46"/>
    </row>
    <row r="38" spans="2:67" s="45" customFormat="1" x14ac:dyDescent="0.3">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4"/>
      <c r="AE38" s="44"/>
      <c r="AH38" s="46"/>
      <c r="AI38" s="46"/>
      <c r="AJ38" s="46"/>
      <c r="AK38" s="46"/>
      <c r="AL38" s="46"/>
      <c r="AM38" s="46"/>
      <c r="AN38" s="46"/>
      <c r="AO38" s="46"/>
      <c r="AP38" s="46"/>
      <c r="AQ38" s="46"/>
    </row>
    <row r="39" spans="2:67" x14ac:dyDescent="0.3">
      <c r="AS39" s="45"/>
      <c r="AT39" s="45"/>
      <c r="AU39" s="45"/>
      <c r="AV39" s="45"/>
      <c r="AW39" s="45"/>
      <c r="AX39" s="45"/>
      <c r="AY39" s="45"/>
      <c r="AZ39" s="45"/>
      <c r="BA39" s="45"/>
      <c r="BB39" s="45"/>
      <c r="BC39" s="45"/>
      <c r="BD39" s="45"/>
      <c r="BE39" s="45"/>
      <c r="BF39" s="45"/>
      <c r="BG39" s="45"/>
      <c r="BH39" s="45"/>
      <c r="BI39" s="45"/>
      <c r="BJ39" s="45"/>
      <c r="BK39" s="45"/>
      <c r="BL39" s="45"/>
      <c r="BM39" s="45"/>
      <c r="BN39" s="45"/>
      <c r="BO39" s="45"/>
    </row>
    <row r="40" spans="2:67" x14ac:dyDescent="0.3">
      <c r="B40" s="27" t="s">
        <v>308</v>
      </c>
      <c r="C40" s="27" t="s">
        <v>39</v>
      </c>
      <c r="D40" s="27" t="s">
        <v>318</v>
      </c>
      <c r="E40" s="27" t="s">
        <v>319</v>
      </c>
      <c r="F40" s="27" t="s">
        <v>320</v>
      </c>
      <c r="G40" s="27" t="s">
        <v>321</v>
      </c>
      <c r="H40" s="27" t="s">
        <v>322</v>
      </c>
      <c r="I40" s="27" t="s">
        <v>323</v>
      </c>
      <c r="J40" s="27" t="s">
        <v>324</v>
      </c>
      <c r="K40" s="27" t="s">
        <v>325</v>
      </c>
      <c r="L40" s="27" t="s">
        <v>326</v>
      </c>
      <c r="M40" s="27" t="s">
        <v>327</v>
      </c>
      <c r="N40" s="27" t="s">
        <v>328</v>
      </c>
      <c r="O40" s="27" t="s">
        <v>218</v>
      </c>
      <c r="P40" s="27" t="s">
        <v>306</v>
      </c>
      <c r="Q40" s="27" t="s">
        <v>358</v>
      </c>
      <c r="R40" s="27" t="s">
        <v>357</v>
      </c>
      <c r="S40" s="27" t="s">
        <v>359</v>
      </c>
      <c r="T40" s="27" t="s">
        <v>362</v>
      </c>
      <c r="U40" s="27" t="s">
        <v>361</v>
      </c>
      <c r="V40" s="27" t="s">
        <v>360</v>
      </c>
      <c r="W40" s="27" t="s">
        <v>363</v>
      </c>
      <c r="X40" s="27" t="s">
        <v>364</v>
      </c>
      <c r="Y40" s="27" t="s">
        <v>365</v>
      </c>
      <c r="Z40" s="27" t="s">
        <v>366</v>
      </c>
      <c r="AA40" s="27" t="s">
        <v>367</v>
      </c>
      <c r="AB40" s="27" t="s">
        <v>368</v>
      </c>
      <c r="AC40" s="27" t="s">
        <v>369</v>
      </c>
      <c r="AD40" s="27" t="s">
        <v>370</v>
      </c>
      <c r="AE40" s="27" t="s">
        <v>427</v>
      </c>
      <c r="AH40" s="28" t="s">
        <v>250</v>
      </c>
      <c r="AI40" s="28" t="s">
        <v>189</v>
      </c>
      <c r="AJ40" s="28" t="s">
        <v>178</v>
      </c>
      <c r="AK40" s="28" t="s">
        <v>179</v>
      </c>
      <c r="AL40" s="28" t="s">
        <v>182</v>
      </c>
      <c r="AM40" s="28" t="s">
        <v>187</v>
      </c>
      <c r="AN40" s="28" t="s">
        <v>184</v>
      </c>
      <c r="AO40" s="28" t="s">
        <v>183</v>
      </c>
      <c r="AP40" s="28" t="s">
        <v>177</v>
      </c>
      <c r="AQ40" s="28" t="s">
        <v>336</v>
      </c>
      <c r="AS40" s="45"/>
      <c r="AT40" s="45"/>
      <c r="AU40" s="45"/>
      <c r="AV40" s="45"/>
      <c r="AW40" s="45"/>
      <c r="AX40" s="45"/>
      <c r="AY40" s="45"/>
      <c r="AZ40" s="45"/>
      <c r="BA40" s="45"/>
      <c r="BB40" s="45"/>
      <c r="BC40" s="45"/>
      <c r="BD40" s="45"/>
      <c r="BE40" s="45"/>
      <c r="BF40" s="45"/>
      <c r="BG40" s="45"/>
      <c r="BH40" s="45"/>
      <c r="BI40" s="45"/>
      <c r="BJ40" s="45"/>
      <c r="BK40" s="45"/>
      <c r="BL40" s="45"/>
      <c r="BM40" s="45"/>
      <c r="BN40" s="45"/>
      <c r="BO40" s="45"/>
    </row>
    <row r="41" spans="2:67" x14ac:dyDescent="0.3">
      <c r="B41" s="27" t="s">
        <v>227</v>
      </c>
      <c r="C41" s="27">
        <f ca="1">INDEX(tblGroupTotals[],MATCH(tblGroupD[[#This Row],[Table_Rank_Code]],tblGroupTotals[Table_Rank_Code],0),MATCH("Team_Number",tblGroupTotals[#Headers],0))</f>
        <v>13</v>
      </c>
      <c r="D41" s="27">
        <v>1</v>
      </c>
      <c r="E41" s="27" t="str">
        <f ca="1">INDEX(lkupTeam[],MATCH(tblGroupD[[#This Row],[Team_Number]],lkupTeam[Team_Number],0),MATCH("Team",lkupTeam[#Headers],0))</f>
        <v>England</v>
      </c>
      <c r="F41" s="27">
        <f ca="1">INDEX(tblGroupTotals[],MATCH(tblGroupD[[#This Row],[Table_Rank_Code]],tblGroupTotals[Table_Rank_Code],0),MATCH("Total_Games",tblGroupTotals[#Headers],0))</f>
        <v>0</v>
      </c>
      <c r="G41" s="27">
        <f ca="1">INDEX(tblGroupTotals[],MATCH(tblGroupD[[#This Row],[Table_Rank_Code]],tblGroupTotals[Table_Rank_Code],0),MATCH("Total_Wins",tblGroupTotals[#Headers],0))</f>
        <v>0</v>
      </c>
      <c r="H41" s="27">
        <f ca="1">INDEX(tblGroupTotals[],MATCH(tblGroupD[[#This Row],[Table_Rank_Code]],tblGroupTotals[Table_Rank_Code],0),MATCH("Total_Draws",tblGroupTotals[#Headers],0))</f>
        <v>0</v>
      </c>
      <c r="I41" s="27">
        <f ca="1">INDEX(tblGroupTotals[],MATCH(tblGroupD[[#This Row],[Table_Rank_Code]],tblGroupTotals[Table_Rank_Code],0),MATCH("Total_Loses",tblGroupTotals[#Headers],0))</f>
        <v>0</v>
      </c>
      <c r="J41" s="27">
        <f ca="1">INDEX(tblGroupTotals[],MATCH(tblGroupD[[#This Row],[Table_Rank_Code]],tblGroupTotals[Table_Rank_Code],0),MATCH("Total_Goals_For",tblGroupTotals[#Headers],0))</f>
        <v>0</v>
      </c>
      <c r="K41" s="27">
        <f ca="1">INDEX(tblGroupTotals[],MATCH(tblGroupD[[#This Row],[Table_Rank_Code]],tblGroupTotals[Table_Rank_Code],0),MATCH("Total_Goals_Against",tblGroupTotals[#Headers],0))</f>
        <v>0</v>
      </c>
      <c r="L41" s="27">
        <f ca="1">INDEX(tblGroupTotals[],MATCH(tblGroupD[[#This Row],[Table_Rank_Code]],tblGroupTotals[Table_Rank_Code],0),MATCH("Goal_Difference",tblGroupTotals[#Headers],0))</f>
        <v>0</v>
      </c>
      <c r="M41" s="27">
        <f ca="1">INDEX(tblGroupTotals[],MATCH(tblGroupD[[#This Row],[Table_Rank_Code]],tblGroupTotals[Table_Rank_Code],0),MATCH("Total_Points",tblGroupTotals[#Headers],0))</f>
        <v>0</v>
      </c>
      <c r="N41" s="27" t="str">
        <f ca="1">IF(INDEX(tblGroupTotals[],MATCH(tblGroupD[[#This Row],[Table_Rank_Code]],tblGroupTotals[Table_Rank_Code],0),MATCH("Group_Points_TieBreak_Rank_1",tblGroupTotals[#Headers],0))&lt;&gt;4,INDEX(tblGroupTotals[],MATCH(tblGroupD[[#This Row],[Table_Rank_Code]],tblGroupTotals[Table_Rank_Code],0),MATCH("Group_Points_TieBreak_Rank_1",tblGroupTotals[#Headers],0)),"")</f>
        <v/>
      </c>
      <c r="O41" s="27">
        <f ca="1">INDEX(tblGroupTotals[],MATCH(tblGroupD[[#This Row],[Table_Rank_Code]],tblGroupTotals[Table_Rank_Code],0),MATCH("Total_Diciplinary_Points",tblGroupTotals[#Headers],0))</f>
        <v>0</v>
      </c>
      <c r="P41" s="27">
        <f ca="1">INDEX(tblGroupTotals[],MATCH(tblGroupD[[#This Row],[Table_Rank_Code]],tblGroupTotals[Table_Rank_Code],0),MATCH("Total_Group_Rank_Value",tblGroupTotals[#Headers],0))</f>
        <v>144111111</v>
      </c>
      <c r="Q41" s="27" t="str">
        <f ca="1">LEFT(tblGroupD[[#This Row],[Total_Group_Rank_Value]],1)</f>
        <v>1</v>
      </c>
      <c r="R41" s="27" t="str">
        <f ca="1">LEFT(tblGroupD[[#This Row],[Total_Group_Rank_Value]],3)</f>
        <v>144</v>
      </c>
      <c r="S41" s="27" t="str">
        <f ca="1">LEFT(tblGroupD[[#This Row],[Total_Group_Rank_Value]],5)</f>
        <v>14411</v>
      </c>
      <c r="T41" s="27" t="str">
        <f ca="1">LEFT(tblGroupD[[#This Row],[Total_Group_Rank_Value]],6)</f>
        <v>144111</v>
      </c>
      <c r="U41" s="27" t="str">
        <f ca="1">LEFT(tblGroupD[[#This Row],[Total_Group_Rank_Value]],7)</f>
        <v>1441111</v>
      </c>
      <c r="V41" s="27" t="str">
        <f ca="1">LEFT(tblGroupD[[#This Row],[Total_Group_Rank_Value]],8)</f>
        <v>14411111</v>
      </c>
      <c r="W41" s="27" t="b">
        <f ca="1">COUNTIF(tblGroupD[Group_Point_Rank_Value],tblGroupD[[#This Row],[Group_Point_Rank_Value]])&gt;1</f>
        <v>1</v>
      </c>
      <c r="X41" s="27" t="b">
        <f ca="1">COUNTIF(tblGroupD[Head_To_Head_Rank_Value],tblGroupD[[#This Row],[Head_To_Head_Rank_Value]])&gt;1</f>
        <v>1</v>
      </c>
      <c r="Y41" s="27" t="b">
        <f ca="1">COUNTIF(tblGroupD[Group_Goals_Rank_Value],tblGroupD[[#This Row],[Group_Goals_Rank_Value]])&gt;1</f>
        <v>1</v>
      </c>
      <c r="Z41" s="27" t="b">
        <f ca="1">COUNTIF(tblGroupD[Wins_Rank_Value],tblGroupD[[#This Row],[Wins_Rank_Value]])&gt;1</f>
        <v>1</v>
      </c>
      <c r="AA41" s="27" t="b">
        <f ca="1">COUNTIF(tblGroupD[Penalty_Rank_Value],tblGroupD[[#This Row],[Penalty_Rank_Value]])&gt;1</f>
        <v>1</v>
      </c>
      <c r="AB41" s="27" t="b">
        <f ca="1">COUNTIF(tblGroupD[Diciplinary_Rank_Value],tblGroupD[[#This Row],[Diciplinary_Rank_Value]])&gt;1</f>
        <v>1</v>
      </c>
      <c r="AC41" s="27" t="b">
        <f ca="1">COUNTIF(tblGroupD[Total_Group_Rank_Value],tblGroupD[[#This Row],[Total_Group_Rank_Value]])&gt;1</f>
        <v>0</v>
      </c>
      <c r="AD41" s="27" t="str">
        <f ca="1">IF(tblGroupD[[#This Row],[Points_Match]],IF(tblGroupD[[#This Row],[H2H_Match]],IF(tblGroupD[[#This Row],[Goals_Match]],IF(tblGroupD[[#This Row],[Wins_Match]],IF(tblGroupD[[#This Row],[Penalty_Match]],IF(tblGroupD[[#This Row],[Disciplinary_Match]],"Euro Qualifier Rank","Disciplinary Points ("&amp;tblGroupD[[#This Row],[Total_Diciplinary_Points]]&amp;")"),"Penalties"),"Wins ("&amp;tblGroupD[[#This Row],[Table_Won]]&amp;")"),""),"Head 2 Head ("&amp;tblGroupD[[#This Row],[Table_Head_to_Head_Rank]]&amp;")"),"")</f>
        <v>Euro Qualifier Rank</v>
      </c>
      <c r="AE41" s="27" t="b">
        <f ca="1">AND(tblGroupD[[#This Row],[Table_Position]]=3,COUNTIFS(tblGroupThirdPlace[Team_Number],tblGroupD[[#This Row],[Team_Number]],tblGroupThirdPlace[Table_Position],"&lt;5")&gt;0)</f>
        <v>0</v>
      </c>
      <c r="AH41" s="28" t="s">
        <v>351</v>
      </c>
      <c r="AI41" s="28" t="str">
        <f>TEXT(INDEX(tblGroupMatch[],MATCH(tblMatchesD[[#This Row],[Match_Code]],tblGroupMatch[Match_Code],0),MATCH("Date &amp; Time",tblGroupMatch[#Headers],0)),"ddd dd mmm hh:mm")&amp;" ("&amp;INDEX(tblGroupMatch[],MATCH(tblMatchesD[[#This Row],[Match_Code]],tblGroupMatch[Match_Code],0),MATCH("TV_Station",tblGroupMatch[#Headers],0))&amp;")"</f>
        <v>Sun 13 Jun 14:00 (BBC)</v>
      </c>
      <c r="AJ41" s="28" t="str">
        <f>INDEX(tblGroupMatch[],MATCH(tblMatchesD[[#This Row],[Match_Code]],tblGroupMatch[Match_Code],0),MATCH("Team A Name",tblGroupMatch[#Headers],0))</f>
        <v>England</v>
      </c>
      <c r="AK41" s="28" t="str">
        <f>INDEX(tblGroupMatch[],MATCH(tblMatchesD[[#This Row],[Match_Code]],tblGroupMatch[Match_Code],0),MATCH("Team A Goals",tblGroupMatch[#Headers],0))&amp;IF(AND(tblMatchesD[[#This Row],[Team A Penalties]]&gt;0,tblMatchesD[[#This Row],[Team B Penalties]]&gt;0)," (Pen "&amp;tblMatchesD[[#This Row],[Team A Penalties]]&amp;")","")</f>
        <v/>
      </c>
      <c r="AL41" s="28">
        <f>INDEX(tblGroupMatch[],MATCH(tblMatchesD[[#This Row],[Match_Code]],tblGroupMatch[Match_Code],0),MATCH("Team A Penalties",tblGroupMatch[#Headers],0))</f>
        <v>0</v>
      </c>
      <c r="AM41" s="28">
        <f>INDEX(tblGroupMatch[],MATCH(tblMatchesD[[#This Row],[Match_Code]],tblGroupMatch[Match_Code],0),MATCH("Team B Penalties",tblGroupMatch[#Headers],0))</f>
        <v>0</v>
      </c>
      <c r="AN41" s="28" t="str">
        <f>IF(AND(tblMatchesD[[#This Row],[Team A Penalties]]&gt;0,tblMatchesD[[#This Row],[Team B Penalties]]&gt;0),"(Pen "&amp;tblMatchesD[[#This Row],[Team B Penalties]]&amp;") ","")&amp;INDEX(tblGroupMatch[],MATCH(tblMatchesD[[#This Row],[Match_Code]],tblGroupMatch[Match_Code],0),MATCH("Team B Goals",tblGroupMatch[#Headers],0))</f>
        <v/>
      </c>
      <c r="AO41" s="28" t="str">
        <f>INDEX(tblGroupMatch[],MATCH(tblMatchesD[[#This Row],[Match_Code]],tblGroupMatch[Match_Code],0),MATCH("Team B Name",tblGroupMatch[#Headers],0))</f>
        <v>Croatia</v>
      </c>
      <c r="AP41" s="28" t="str">
        <f>INDEX(tblGroupMatch[],MATCH(tblMatchesD[[#This Row],[Match_Code]],tblGroupMatch[Match_Code],0),MATCH("Venue",tblGroupMatch[#Headers],0))</f>
        <v>Wembley Stadium (ENG)</v>
      </c>
      <c r="AQ41" s="28" t="str">
        <f>" - "</f>
        <v xml:space="preserve"> - </v>
      </c>
      <c r="AS41" s="45"/>
      <c r="AT41" s="45"/>
      <c r="AU41" s="45"/>
      <c r="AV41" s="45"/>
      <c r="AW41" s="45"/>
      <c r="AX41" s="45"/>
      <c r="AY41" s="45"/>
      <c r="AZ41" s="45"/>
      <c r="BA41" s="45"/>
      <c r="BB41" s="45"/>
      <c r="BC41" s="45"/>
      <c r="BD41" s="45"/>
      <c r="BE41" s="45"/>
      <c r="BF41" s="45"/>
      <c r="BG41" s="45"/>
      <c r="BH41" s="45"/>
      <c r="BI41" s="45"/>
      <c r="BJ41" s="45"/>
      <c r="BK41" s="45"/>
      <c r="BL41" s="45"/>
      <c r="BM41" s="45"/>
      <c r="BN41" s="45"/>
      <c r="BO41" s="45"/>
    </row>
    <row r="42" spans="2:67" x14ac:dyDescent="0.3">
      <c r="B42" s="27" t="s">
        <v>228</v>
      </c>
      <c r="C42" s="27">
        <f ca="1">INDEX(tblGroupTotals[],MATCH(tblGroupD[[#This Row],[Table_Rank_Code]],tblGroupTotals[Table_Rank_Code],0),MATCH("Team_Number",tblGroupTotals[#Headers],0))</f>
        <v>14</v>
      </c>
      <c r="D42" s="27">
        <v>2</v>
      </c>
      <c r="E42" s="27" t="str">
        <f ca="1">INDEX(lkupTeam[],MATCH(tblGroupD[[#This Row],[Team_Number]],lkupTeam[Team_Number],0),MATCH("Team",lkupTeam[#Headers],0))</f>
        <v>Croatia</v>
      </c>
      <c r="F42" s="27">
        <f ca="1">INDEX(tblGroupTotals[],MATCH(tblGroupD[[#This Row],[Table_Rank_Code]],tblGroupTotals[Table_Rank_Code],0),MATCH("Total_Games",tblGroupTotals[#Headers],0))</f>
        <v>0</v>
      </c>
      <c r="G42" s="27">
        <f ca="1">INDEX(tblGroupTotals[],MATCH(tblGroupD[[#This Row],[Table_Rank_Code]],tblGroupTotals[Table_Rank_Code],0),MATCH("Total_Wins",tblGroupTotals[#Headers],0))</f>
        <v>0</v>
      </c>
      <c r="H42" s="27">
        <f ca="1">INDEX(tblGroupTotals[],MATCH(tblGroupD[[#This Row],[Table_Rank_Code]],tblGroupTotals[Table_Rank_Code],0),MATCH("Total_Draws",tblGroupTotals[#Headers],0))</f>
        <v>0</v>
      </c>
      <c r="I42" s="27">
        <f ca="1">INDEX(tblGroupTotals[],MATCH(tblGroupD[[#This Row],[Table_Rank_Code]],tblGroupTotals[Table_Rank_Code],0),MATCH("Total_Loses",tblGroupTotals[#Headers],0))</f>
        <v>0</v>
      </c>
      <c r="J42" s="27">
        <f ca="1">INDEX(tblGroupTotals[],MATCH(tblGroupD[[#This Row],[Table_Rank_Code]],tblGroupTotals[Table_Rank_Code],0),MATCH("Total_Goals_For",tblGroupTotals[#Headers],0))</f>
        <v>0</v>
      </c>
      <c r="K42" s="27">
        <f ca="1">INDEX(tblGroupTotals[],MATCH(tblGroupD[[#This Row],[Table_Rank_Code]],tblGroupTotals[Table_Rank_Code],0),MATCH("Total_Goals_Against",tblGroupTotals[#Headers],0))</f>
        <v>0</v>
      </c>
      <c r="L42" s="27">
        <f ca="1">INDEX(tblGroupTotals[],MATCH(tblGroupD[[#This Row],[Table_Rank_Code]],tblGroupTotals[Table_Rank_Code],0),MATCH("Goal_Difference",tblGroupTotals[#Headers],0))</f>
        <v>0</v>
      </c>
      <c r="M42" s="27">
        <f ca="1">INDEX(tblGroupTotals[],MATCH(tblGroupD[[#This Row],[Table_Rank_Code]],tblGroupTotals[Table_Rank_Code],0),MATCH("Total_Points",tblGroupTotals[#Headers],0))</f>
        <v>0</v>
      </c>
      <c r="N42" s="27" t="str">
        <f ca="1">IF(INDEX(tblGroupTotals[],MATCH(tblGroupD[[#This Row],[Table_Rank_Code]],tblGroupTotals[Table_Rank_Code],0),MATCH("Group_Points_TieBreak_Rank_1",tblGroupTotals[#Headers],0))&lt;&gt;4,INDEX(tblGroupTotals[],MATCH(tblGroupD[[#This Row],[Table_Rank_Code]],tblGroupTotals[Table_Rank_Code],0),MATCH("Group_Points_TieBreak_Rank_1",tblGroupTotals[#Headers],0)),"")</f>
        <v/>
      </c>
      <c r="O42" s="27">
        <f ca="1">INDEX(tblGroupTotals[],MATCH(tblGroupD[[#This Row],[Table_Rank_Code]],tblGroupTotals[Table_Rank_Code],0),MATCH("Total_Diciplinary_Points",tblGroupTotals[#Headers],0))</f>
        <v>0</v>
      </c>
      <c r="P42" s="27">
        <f ca="1">INDEX(tblGroupTotals[],MATCH(tblGroupD[[#This Row],[Table_Rank_Code]],tblGroupTotals[Table_Rank_Code],0),MATCH("Total_Group_Rank_Value",tblGroupTotals[#Headers],0))</f>
        <v>144111112</v>
      </c>
      <c r="Q42" s="27" t="str">
        <f ca="1">LEFT(tblGroupD[[#This Row],[Total_Group_Rank_Value]],1)</f>
        <v>1</v>
      </c>
      <c r="R42" s="27" t="str">
        <f ca="1">LEFT(tblGroupD[[#This Row],[Total_Group_Rank_Value]],3)</f>
        <v>144</v>
      </c>
      <c r="S42" s="27" t="str">
        <f ca="1">LEFT(tblGroupD[[#This Row],[Total_Group_Rank_Value]],5)</f>
        <v>14411</v>
      </c>
      <c r="T42" s="27" t="str">
        <f ca="1">LEFT(tblGroupD[[#This Row],[Total_Group_Rank_Value]],6)</f>
        <v>144111</v>
      </c>
      <c r="U42" s="27" t="str">
        <f ca="1">LEFT(tblGroupD[[#This Row],[Total_Group_Rank_Value]],7)</f>
        <v>1441111</v>
      </c>
      <c r="V42" s="27" t="str">
        <f ca="1">LEFT(tblGroupD[[#This Row],[Total_Group_Rank_Value]],8)</f>
        <v>14411111</v>
      </c>
      <c r="W42" s="27" t="b">
        <f ca="1">COUNTIF(tblGroupD[Group_Point_Rank_Value],tblGroupD[[#This Row],[Group_Point_Rank_Value]])&gt;1</f>
        <v>1</v>
      </c>
      <c r="X42" s="27" t="b">
        <f ca="1">COUNTIF(tblGroupD[Head_To_Head_Rank_Value],tblGroupD[[#This Row],[Head_To_Head_Rank_Value]])&gt;1</f>
        <v>1</v>
      </c>
      <c r="Y42" s="27" t="b">
        <f ca="1">COUNTIF(tblGroupD[Group_Goals_Rank_Value],tblGroupD[[#This Row],[Group_Goals_Rank_Value]])&gt;1</f>
        <v>1</v>
      </c>
      <c r="Z42" s="27" t="b">
        <f ca="1">COUNTIF(tblGroupD[Wins_Rank_Value],tblGroupD[[#This Row],[Wins_Rank_Value]])&gt;1</f>
        <v>1</v>
      </c>
      <c r="AA42" s="27" t="b">
        <f ca="1">COUNTIF(tblGroupD[Penalty_Rank_Value],tblGroupD[[#This Row],[Penalty_Rank_Value]])&gt;1</f>
        <v>1</v>
      </c>
      <c r="AB42" s="27" t="b">
        <f ca="1">COUNTIF(tblGroupD[Diciplinary_Rank_Value],tblGroupD[[#This Row],[Diciplinary_Rank_Value]])&gt;1</f>
        <v>1</v>
      </c>
      <c r="AC42" s="27" t="b">
        <f ca="1">COUNTIF(tblGroupD[Total_Group_Rank_Value],tblGroupD[[#This Row],[Total_Group_Rank_Value]])&gt;1</f>
        <v>0</v>
      </c>
      <c r="AD42" s="27" t="str">
        <f ca="1">IF(tblGroupD[[#This Row],[Points_Match]],IF(tblGroupD[[#This Row],[H2H_Match]],IF(tblGroupD[[#This Row],[Goals_Match]],IF(tblGroupD[[#This Row],[Wins_Match]],IF(tblGroupD[[#This Row],[Penalty_Match]],IF(tblGroupD[[#This Row],[Disciplinary_Match]],"Euro Qualifier Rank","Disciplinary Points ("&amp;tblGroupD[[#This Row],[Total_Diciplinary_Points]]&amp;")"),"Penalties"),"Wins ("&amp;tblGroupD[[#This Row],[Table_Won]]&amp;")"),""),"Head 2 Head ("&amp;tblGroupD[[#This Row],[Table_Head_to_Head_Rank]]&amp;")"),"")</f>
        <v>Euro Qualifier Rank</v>
      </c>
      <c r="AE42" s="27" t="b">
        <f ca="1">AND(tblGroupD[[#This Row],[Table_Position]]=3,COUNTIFS(tblGroupThirdPlace[Team_Number],tblGroupD[[#This Row],[Team_Number]],tblGroupThirdPlace[Table_Position],"&lt;5")&gt;0)</f>
        <v>0</v>
      </c>
      <c r="AH42" s="28" t="s">
        <v>352</v>
      </c>
      <c r="AI42" s="28" t="str">
        <f>TEXT(INDEX(tblGroupMatch[],MATCH(tblMatchesD[[#This Row],[Match_Code]],tblGroupMatch[Match_Code],0),MATCH("Date &amp; Time",tblGroupMatch[#Headers],0)),"ddd dd mmm hh:mm")&amp;" ("&amp;INDEX(tblGroupMatch[],MATCH(tblMatchesD[[#This Row],[Match_Code]],tblGroupMatch[Match_Code],0),MATCH("TV_Station",tblGroupMatch[#Headers],0))&amp;")"</f>
        <v>Mon 14 Jun 14:00 (BBC)</v>
      </c>
      <c r="AJ42" s="28" t="str">
        <f>INDEX(tblGroupMatch[],MATCH(tblMatchesD[[#This Row],[Match_Code]],tblGroupMatch[Match_Code],0),MATCH("Team A Name",tblGroupMatch[#Headers],0))</f>
        <v>Scotland</v>
      </c>
      <c r="AK42" s="28" t="str">
        <f>INDEX(tblGroupMatch[],MATCH(tblMatchesD[[#This Row],[Match_Code]],tblGroupMatch[Match_Code],0),MATCH("Team A Goals",tblGroupMatch[#Headers],0))&amp;IF(AND(tblMatchesD[[#This Row],[Team A Penalties]]&gt;0,tblMatchesD[[#This Row],[Team B Penalties]]&gt;0)," (Pen "&amp;tblMatchesD[[#This Row],[Team A Penalties]]&amp;")","")</f>
        <v/>
      </c>
      <c r="AL42" s="28">
        <f>INDEX(tblGroupMatch[],MATCH(tblMatchesD[[#This Row],[Match_Code]],tblGroupMatch[Match_Code],0),MATCH("Team A Penalties",tblGroupMatch[#Headers],0))</f>
        <v>0</v>
      </c>
      <c r="AM42" s="28">
        <f>INDEX(tblGroupMatch[],MATCH(tblMatchesD[[#This Row],[Match_Code]],tblGroupMatch[Match_Code],0),MATCH("Team B Penalties",tblGroupMatch[#Headers],0))</f>
        <v>0</v>
      </c>
      <c r="AN42" s="28" t="str">
        <f>IF(AND(tblMatchesD[[#This Row],[Team A Penalties]]&gt;0,tblMatchesD[[#This Row],[Team B Penalties]]&gt;0),"(Pen "&amp;tblMatchesD[[#This Row],[Team B Penalties]]&amp;") ","")&amp;INDEX(tblGroupMatch[],MATCH(tblMatchesD[[#This Row],[Match_Code]],tblGroupMatch[Match_Code],0),MATCH("Team B Goals",tblGroupMatch[#Headers],0))</f>
        <v/>
      </c>
      <c r="AO42" s="28" t="str">
        <f>INDEX(tblGroupMatch[],MATCH(tblMatchesD[[#This Row],[Match_Code]],tblGroupMatch[Match_Code],0),MATCH("Team B Name",tblGroupMatch[#Headers],0))</f>
        <v>Czech Republic</v>
      </c>
      <c r="AP42" s="28" t="str">
        <f>INDEX(tblGroupMatch[],MATCH(tblMatchesD[[#This Row],[Match_Code]],tblGroupMatch[Match_Code],0),MATCH("Venue",tblGroupMatch[#Headers],0))</f>
        <v>Hampden Park (SCO)</v>
      </c>
      <c r="AQ42" s="28" t="str">
        <f t="shared" ref="AQ42:AQ46" si="3">" - "</f>
        <v xml:space="preserve"> - </v>
      </c>
      <c r="AS42" s="45"/>
      <c r="AT42" s="45"/>
      <c r="AU42" s="45"/>
      <c r="AV42" s="45"/>
      <c r="AW42" s="45"/>
      <c r="AX42" s="45"/>
      <c r="AY42" s="45"/>
      <c r="AZ42" s="45"/>
      <c r="BA42" s="45"/>
      <c r="BB42" s="45"/>
      <c r="BC42" s="45"/>
      <c r="BD42" s="45"/>
      <c r="BE42" s="45"/>
      <c r="BF42" s="45"/>
      <c r="BG42" s="45"/>
      <c r="BH42" s="45"/>
      <c r="BI42" s="45"/>
      <c r="BJ42" s="45"/>
      <c r="BK42" s="45"/>
      <c r="BL42" s="45"/>
      <c r="BM42" s="45"/>
      <c r="BN42" s="45"/>
      <c r="BO42" s="45"/>
    </row>
    <row r="43" spans="2:67" x14ac:dyDescent="0.3">
      <c r="B43" s="27" t="s">
        <v>229</v>
      </c>
      <c r="C43" s="27">
        <f ca="1">INDEX(tblGroupTotals[],MATCH(tblGroupD[[#This Row],[Table_Rank_Code]],tblGroupTotals[Table_Rank_Code],0),MATCH("Team_Number",tblGroupTotals[#Headers],0))</f>
        <v>16</v>
      </c>
      <c r="D43" s="27">
        <v>3</v>
      </c>
      <c r="E43" s="27" t="str">
        <f ca="1">INDEX(lkupTeam[],MATCH(tblGroupD[[#This Row],[Team_Number]],lkupTeam[Team_Number],0),MATCH("Team",lkupTeam[#Headers],0))</f>
        <v>Czech Republic</v>
      </c>
      <c r="F43" s="27">
        <f ca="1">INDEX(tblGroupTotals[],MATCH(tblGroupD[[#This Row],[Table_Rank_Code]],tblGroupTotals[Table_Rank_Code],0),MATCH("Total_Games",tblGroupTotals[#Headers],0))</f>
        <v>0</v>
      </c>
      <c r="G43" s="27">
        <f ca="1">INDEX(tblGroupTotals[],MATCH(tblGroupD[[#This Row],[Table_Rank_Code]],tblGroupTotals[Table_Rank_Code],0),MATCH("Total_Wins",tblGroupTotals[#Headers],0))</f>
        <v>0</v>
      </c>
      <c r="H43" s="27">
        <f ca="1">INDEX(tblGroupTotals[],MATCH(tblGroupD[[#This Row],[Table_Rank_Code]],tblGroupTotals[Table_Rank_Code],0),MATCH("Total_Draws",tblGroupTotals[#Headers],0))</f>
        <v>0</v>
      </c>
      <c r="I43" s="27">
        <f ca="1">INDEX(tblGroupTotals[],MATCH(tblGroupD[[#This Row],[Table_Rank_Code]],tblGroupTotals[Table_Rank_Code],0),MATCH("Total_Loses",tblGroupTotals[#Headers],0))</f>
        <v>0</v>
      </c>
      <c r="J43" s="27">
        <f ca="1">INDEX(tblGroupTotals[],MATCH(tblGroupD[[#This Row],[Table_Rank_Code]],tblGroupTotals[Table_Rank_Code],0),MATCH("Total_Goals_For",tblGroupTotals[#Headers],0))</f>
        <v>0</v>
      </c>
      <c r="K43" s="27">
        <f ca="1">INDEX(tblGroupTotals[],MATCH(tblGroupD[[#This Row],[Table_Rank_Code]],tblGroupTotals[Table_Rank_Code],0),MATCH("Total_Goals_Against",tblGroupTotals[#Headers],0))</f>
        <v>0</v>
      </c>
      <c r="L43" s="27">
        <f ca="1">INDEX(tblGroupTotals[],MATCH(tblGroupD[[#This Row],[Table_Rank_Code]],tblGroupTotals[Table_Rank_Code],0),MATCH("Goal_Difference",tblGroupTotals[#Headers],0))</f>
        <v>0</v>
      </c>
      <c r="M43" s="27">
        <f ca="1">INDEX(tblGroupTotals[],MATCH(tblGroupD[[#This Row],[Table_Rank_Code]],tblGroupTotals[Table_Rank_Code],0),MATCH("Total_Points",tblGroupTotals[#Headers],0))</f>
        <v>0</v>
      </c>
      <c r="N43" s="27" t="str">
        <f ca="1">IF(INDEX(tblGroupTotals[],MATCH(tblGroupD[[#This Row],[Table_Rank_Code]],tblGroupTotals[Table_Rank_Code],0),MATCH("Group_Points_TieBreak_Rank_1",tblGroupTotals[#Headers],0))&lt;&gt;4,INDEX(tblGroupTotals[],MATCH(tblGroupD[[#This Row],[Table_Rank_Code]],tblGroupTotals[Table_Rank_Code],0),MATCH("Group_Points_TieBreak_Rank_1",tblGroupTotals[#Headers],0)),"")</f>
        <v/>
      </c>
      <c r="O43" s="27">
        <f ca="1">INDEX(tblGroupTotals[],MATCH(tblGroupD[[#This Row],[Table_Rank_Code]],tblGroupTotals[Table_Rank_Code],0),MATCH("Total_Diciplinary_Points",tblGroupTotals[#Headers],0))</f>
        <v>0</v>
      </c>
      <c r="P43" s="27">
        <f ca="1">INDEX(tblGroupTotals[],MATCH(tblGroupD[[#This Row],[Table_Rank_Code]],tblGroupTotals[Table_Rank_Code],0),MATCH("Total_Group_Rank_Value",tblGroupTotals[#Headers],0))</f>
        <v>144111113</v>
      </c>
      <c r="Q43" s="27" t="str">
        <f ca="1">LEFT(tblGroupD[[#This Row],[Total_Group_Rank_Value]],1)</f>
        <v>1</v>
      </c>
      <c r="R43" s="27" t="str">
        <f ca="1">LEFT(tblGroupD[[#This Row],[Total_Group_Rank_Value]],3)</f>
        <v>144</v>
      </c>
      <c r="S43" s="27" t="str">
        <f ca="1">LEFT(tblGroupD[[#This Row],[Total_Group_Rank_Value]],5)</f>
        <v>14411</v>
      </c>
      <c r="T43" s="27" t="str">
        <f ca="1">LEFT(tblGroupD[[#This Row],[Total_Group_Rank_Value]],6)</f>
        <v>144111</v>
      </c>
      <c r="U43" s="27" t="str">
        <f ca="1">LEFT(tblGroupD[[#This Row],[Total_Group_Rank_Value]],7)</f>
        <v>1441111</v>
      </c>
      <c r="V43" s="27" t="str">
        <f ca="1">LEFT(tblGroupD[[#This Row],[Total_Group_Rank_Value]],8)</f>
        <v>14411111</v>
      </c>
      <c r="W43" s="27" t="b">
        <f ca="1">COUNTIF(tblGroupD[Group_Point_Rank_Value],tblGroupD[[#This Row],[Group_Point_Rank_Value]])&gt;1</f>
        <v>1</v>
      </c>
      <c r="X43" s="27" t="b">
        <f ca="1">COUNTIF(tblGroupD[Head_To_Head_Rank_Value],tblGroupD[[#This Row],[Head_To_Head_Rank_Value]])&gt;1</f>
        <v>1</v>
      </c>
      <c r="Y43" s="27" t="b">
        <f ca="1">COUNTIF(tblGroupD[Group_Goals_Rank_Value],tblGroupD[[#This Row],[Group_Goals_Rank_Value]])&gt;1</f>
        <v>1</v>
      </c>
      <c r="Z43" s="27" t="b">
        <f ca="1">COUNTIF(tblGroupD[Wins_Rank_Value],tblGroupD[[#This Row],[Wins_Rank_Value]])&gt;1</f>
        <v>1</v>
      </c>
      <c r="AA43" s="27" t="b">
        <f ca="1">COUNTIF(tblGroupD[Penalty_Rank_Value],tblGroupD[[#This Row],[Penalty_Rank_Value]])&gt;1</f>
        <v>1</v>
      </c>
      <c r="AB43" s="27" t="b">
        <f ca="1">COUNTIF(tblGroupD[Diciplinary_Rank_Value],tblGroupD[[#This Row],[Diciplinary_Rank_Value]])&gt;1</f>
        <v>1</v>
      </c>
      <c r="AC43" s="27" t="b">
        <f ca="1">COUNTIF(tblGroupD[Total_Group_Rank_Value],tblGroupD[[#This Row],[Total_Group_Rank_Value]])&gt;1</f>
        <v>0</v>
      </c>
      <c r="AD43" s="27" t="str">
        <f ca="1">IF(tblGroupD[[#This Row],[Points_Match]],IF(tblGroupD[[#This Row],[H2H_Match]],IF(tblGroupD[[#This Row],[Goals_Match]],IF(tblGroupD[[#This Row],[Wins_Match]],IF(tblGroupD[[#This Row],[Penalty_Match]],IF(tblGroupD[[#This Row],[Disciplinary_Match]],"Euro Qualifier Rank","Disciplinary Points ("&amp;tblGroupD[[#This Row],[Total_Diciplinary_Points]]&amp;")"),"Penalties"),"Wins ("&amp;tblGroupD[[#This Row],[Table_Won]]&amp;")"),""),"Head 2 Head ("&amp;tblGroupD[[#This Row],[Table_Head_to_Head_Rank]]&amp;")"),"")</f>
        <v>Euro Qualifier Rank</v>
      </c>
      <c r="AE43" s="27" t="b">
        <f ca="1">AND(tblGroupD[[#This Row],[Table_Position]]=3,COUNTIFS(tblGroupThirdPlace[Team_Number],tblGroupD[[#This Row],[Team_Number]],tblGroupThirdPlace[Table_Position],"&lt;5")&gt;0)</f>
        <v>0</v>
      </c>
      <c r="AH43" s="28" t="s">
        <v>353</v>
      </c>
      <c r="AI43" s="28" t="str">
        <f>TEXT(INDEX(tblGroupMatch[],MATCH(tblMatchesD[[#This Row],[Match_Code]],tblGroupMatch[Match_Code],0),MATCH("Date &amp; Time",tblGroupMatch[#Headers],0)),"ddd dd mmm hh:mm")&amp;" ("&amp;INDEX(tblGroupMatch[],MATCH(tblMatchesD[[#This Row],[Match_Code]],tblGroupMatch[Match_Code],0),MATCH("TV_Station",tblGroupMatch[#Headers],0))&amp;")"</f>
        <v>Fri 18 Jun 17:00 (BBC)</v>
      </c>
      <c r="AJ43" s="28" t="str">
        <f>INDEX(tblGroupMatch[],MATCH(tblMatchesD[[#This Row],[Match_Code]],tblGroupMatch[Match_Code],0),MATCH("Team A Name",tblGroupMatch[#Headers],0))</f>
        <v>Croatia</v>
      </c>
      <c r="AK43" s="28" t="str">
        <f>INDEX(tblGroupMatch[],MATCH(tblMatchesD[[#This Row],[Match_Code]],tblGroupMatch[Match_Code],0),MATCH("Team A Goals",tblGroupMatch[#Headers],0))&amp;IF(AND(tblMatchesD[[#This Row],[Team A Penalties]]&gt;0,tblMatchesD[[#This Row],[Team B Penalties]]&gt;0)," (Pen "&amp;tblMatchesD[[#This Row],[Team A Penalties]]&amp;")","")</f>
        <v/>
      </c>
      <c r="AL43" s="28">
        <f>INDEX(tblGroupMatch[],MATCH(tblMatchesD[[#This Row],[Match_Code]],tblGroupMatch[Match_Code],0),MATCH("Team A Penalties",tblGroupMatch[#Headers],0))</f>
        <v>0</v>
      </c>
      <c r="AM43" s="28">
        <f>INDEX(tblGroupMatch[],MATCH(tblMatchesD[[#This Row],[Match_Code]],tblGroupMatch[Match_Code],0),MATCH("Team B Penalties",tblGroupMatch[#Headers],0))</f>
        <v>0</v>
      </c>
      <c r="AN43" s="28" t="str">
        <f>IF(AND(tblMatchesD[[#This Row],[Team A Penalties]]&gt;0,tblMatchesD[[#This Row],[Team B Penalties]]&gt;0),"(Pen "&amp;tblMatchesD[[#This Row],[Team B Penalties]]&amp;") ","")&amp;INDEX(tblGroupMatch[],MATCH(tblMatchesD[[#This Row],[Match_Code]],tblGroupMatch[Match_Code],0),MATCH("Team B Goals",tblGroupMatch[#Headers],0))</f>
        <v/>
      </c>
      <c r="AO43" s="28" t="str">
        <f>INDEX(tblGroupMatch[],MATCH(tblMatchesD[[#This Row],[Match_Code]],tblGroupMatch[Match_Code],0),MATCH("Team B Name",tblGroupMatch[#Headers],0))</f>
        <v>Czech Republic</v>
      </c>
      <c r="AP43" s="28" t="str">
        <f>INDEX(tblGroupMatch[],MATCH(tblMatchesD[[#This Row],[Match_Code]],tblGroupMatch[Match_Code],0),MATCH("Venue",tblGroupMatch[#Headers],0))</f>
        <v>Hampden Park (SCO)</v>
      </c>
      <c r="AQ43" s="28" t="str">
        <f t="shared" si="3"/>
        <v xml:space="preserve"> - </v>
      </c>
      <c r="AS43" s="45"/>
      <c r="AT43" s="45"/>
      <c r="AU43" s="45"/>
      <c r="AV43" s="45"/>
      <c r="AW43" s="45"/>
      <c r="AX43" s="45"/>
      <c r="AY43" s="45"/>
      <c r="AZ43" s="45"/>
      <c r="BA43" s="45"/>
      <c r="BB43" s="45"/>
      <c r="BC43" s="45"/>
      <c r="BD43" s="45"/>
      <c r="BE43" s="45"/>
      <c r="BF43" s="45"/>
      <c r="BG43" s="45"/>
      <c r="BH43" s="45"/>
      <c r="BI43" s="45"/>
      <c r="BJ43" s="45"/>
      <c r="BK43" s="45"/>
      <c r="BL43" s="45"/>
      <c r="BM43" s="45"/>
      <c r="BN43" s="45"/>
      <c r="BO43" s="45"/>
    </row>
    <row r="44" spans="2:67" x14ac:dyDescent="0.3">
      <c r="B44" s="27" t="s">
        <v>230</v>
      </c>
      <c r="C44" s="27">
        <f ca="1">INDEX(tblGroupTotals[],MATCH(tblGroupD[[#This Row],[Table_Rank_Code]],tblGroupTotals[Table_Rank_Code],0),MATCH("Team_Number",tblGroupTotals[#Headers],0))</f>
        <v>15</v>
      </c>
      <c r="D44" s="27">
        <v>4</v>
      </c>
      <c r="E44" s="27" t="str">
        <f ca="1">INDEX(lkupTeam[],MATCH(tblGroupD[[#This Row],[Team_Number]],lkupTeam[Team_Number],0),MATCH("Team",lkupTeam[#Headers],0))</f>
        <v>Scotland</v>
      </c>
      <c r="F44" s="27">
        <f ca="1">INDEX(tblGroupTotals[],MATCH(tblGroupD[[#This Row],[Table_Rank_Code]],tblGroupTotals[Table_Rank_Code],0),MATCH("Total_Games",tblGroupTotals[#Headers],0))</f>
        <v>0</v>
      </c>
      <c r="G44" s="27">
        <f ca="1">INDEX(tblGroupTotals[],MATCH(tblGroupD[[#This Row],[Table_Rank_Code]],tblGroupTotals[Table_Rank_Code],0),MATCH("Total_Wins",tblGroupTotals[#Headers],0))</f>
        <v>0</v>
      </c>
      <c r="H44" s="27">
        <f ca="1">INDEX(tblGroupTotals[],MATCH(tblGroupD[[#This Row],[Table_Rank_Code]],tblGroupTotals[Table_Rank_Code],0),MATCH("Total_Draws",tblGroupTotals[#Headers],0))</f>
        <v>0</v>
      </c>
      <c r="I44" s="27">
        <f ca="1">INDEX(tblGroupTotals[],MATCH(tblGroupD[[#This Row],[Table_Rank_Code]],tblGroupTotals[Table_Rank_Code],0),MATCH("Total_Loses",tblGroupTotals[#Headers],0))</f>
        <v>0</v>
      </c>
      <c r="J44" s="27">
        <f ca="1">INDEX(tblGroupTotals[],MATCH(tblGroupD[[#This Row],[Table_Rank_Code]],tblGroupTotals[Table_Rank_Code],0),MATCH("Total_Goals_For",tblGroupTotals[#Headers],0))</f>
        <v>0</v>
      </c>
      <c r="K44" s="27">
        <f ca="1">INDEX(tblGroupTotals[],MATCH(tblGroupD[[#This Row],[Table_Rank_Code]],tblGroupTotals[Table_Rank_Code],0),MATCH("Total_Goals_Against",tblGroupTotals[#Headers],0))</f>
        <v>0</v>
      </c>
      <c r="L44" s="27">
        <f ca="1">INDEX(tblGroupTotals[],MATCH(tblGroupD[[#This Row],[Table_Rank_Code]],tblGroupTotals[Table_Rank_Code],0),MATCH("Goal_Difference",tblGroupTotals[#Headers],0))</f>
        <v>0</v>
      </c>
      <c r="M44" s="27">
        <f ca="1">INDEX(tblGroupTotals[],MATCH(tblGroupD[[#This Row],[Table_Rank_Code]],tblGroupTotals[Table_Rank_Code],0),MATCH("Total_Points",tblGroupTotals[#Headers],0))</f>
        <v>0</v>
      </c>
      <c r="N44" s="27" t="str">
        <f ca="1">IF(INDEX(tblGroupTotals[],MATCH(tblGroupD[[#This Row],[Table_Rank_Code]],tblGroupTotals[Table_Rank_Code],0),MATCH("Group_Points_TieBreak_Rank_1",tblGroupTotals[#Headers],0))&lt;&gt;4,INDEX(tblGroupTotals[],MATCH(tblGroupD[[#This Row],[Table_Rank_Code]],tblGroupTotals[Table_Rank_Code],0),MATCH("Group_Points_TieBreak_Rank_1",tblGroupTotals[#Headers],0)),"")</f>
        <v/>
      </c>
      <c r="O44" s="27">
        <f ca="1">INDEX(tblGroupTotals[],MATCH(tblGroupD[[#This Row],[Table_Rank_Code]],tblGroupTotals[Table_Rank_Code],0),MATCH("Total_Diciplinary_Points",tblGroupTotals[#Headers],0))</f>
        <v>0</v>
      </c>
      <c r="P44" s="27">
        <f ca="1">INDEX(tblGroupTotals[],MATCH(tblGroupD[[#This Row],[Table_Rank_Code]],tblGroupTotals[Table_Rank_Code],0),MATCH("Total_Group_Rank_Value",tblGroupTotals[#Headers],0))</f>
        <v>144111114</v>
      </c>
      <c r="Q44" s="27" t="str">
        <f ca="1">LEFT(tblGroupD[[#This Row],[Total_Group_Rank_Value]],1)</f>
        <v>1</v>
      </c>
      <c r="R44" s="27" t="str">
        <f ca="1">LEFT(tblGroupD[[#This Row],[Total_Group_Rank_Value]],3)</f>
        <v>144</v>
      </c>
      <c r="S44" s="27" t="str">
        <f ca="1">LEFT(tblGroupD[[#This Row],[Total_Group_Rank_Value]],5)</f>
        <v>14411</v>
      </c>
      <c r="T44" s="27" t="str">
        <f ca="1">LEFT(tblGroupD[[#This Row],[Total_Group_Rank_Value]],6)</f>
        <v>144111</v>
      </c>
      <c r="U44" s="27" t="str">
        <f ca="1">LEFT(tblGroupD[[#This Row],[Total_Group_Rank_Value]],7)</f>
        <v>1441111</v>
      </c>
      <c r="V44" s="27" t="str">
        <f ca="1">LEFT(tblGroupD[[#This Row],[Total_Group_Rank_Value]],8)</f>
        <v>14411111</v>
      </c>
      <c r="W44" s="27" t="b">
        <f ca="1">COUNTIF(tblGroupD[Group_Point_Rank_Value],tblGroupD[[#This Row],[Group_Point_Rank_Value]])&gt;1</f>
        <v>1</v>
      </c>
      <c r="X44" s="27" t="b">
        <f ca="1">COUNTIF(tblGroupD[Head_To_Head_Rank_Value],tblGroupD[[#This Row],[Head_To_Head_Rank_Value]])&gt;1</f>
        <v>1</v>
      </c>
      <c r="Y44" s="27" t="b">
        <f ca="1">COUNTIF(tblGroupD[Group_Goals_Rank_Value],tblGroupD[[#This Row],[Group_Goals_Rank_Value]])&gt;1</f>
        <v>1</v>
      </c>
      <c r="Z44" s="27" t="b">
        <f ca="1">COUNTIF(tblGroupD[Wins_Rank_Value],tblGroupD[[#This Row],[Wins_Rank_Value]])&gt;1</f>
        <v>1</v>
      </c>
      <c r="AA44" s="27" t="b">
        <f ca="1">COUNTIF(tblGroupD[Penalty_Rank_Value],tblGroupD[[#This Row],[Penalty_Rank_Value]])&gt;1</f>
        <v>1</v>
      </c>
      <c r="AB44" s="27" t="b">
        <f ca="1">COUNTIF(tblGroupD[Diciplinary_Rank_Value],tblGroupD[[#This Row],[Diciplinary_Rank_Value]])&gt;1</f>
        <v>1</v>
      </c>
      <c r="AC44" s="27" t="b">
        <f ca="1">COUNTIF(tblGroupD[Total_Group_Rank_Value],tblGroupD[[#This Row],[Total_Group_Rank_Value]])&gt;1</f>
        <v>0</v>
      </c>
      <c r="AD44" s="27" t="str">
        <f ca="1">IF(tblGroupD[[#This Row],[Points_Match]],IF(tblGroupD[[#This Row],[H2H_Match]],IF(tblGroupD[[#This Row],[Goals_Match]],IF(tblGroupD[[#This Row],[Wins_Match]],IF(tblGroupD[[#This Row],[Penalty_Match]],IF(tblGroupD[[#This Row],[Disciplinary_Match]],"Euro Qualifier Rank","Disciplinary Points ("&amp;tblGroupD[[#This Row],[Total_Diciplinary_Points]]&amp;")"),"Penalties"),"Wins ("&amp;tblGroupD[[#This Row],[Table_Won]]&amp;")"),""),"Head 2 Head ("&amp;tblGroupD[[#This Row],[Table_Head_to_Head_Rank]]&amp;")"),"")</f>
        <v>Euro Qualifier Rank</v>
      </c>
      <c r="AE44" s="27" t="b">
        <f ca="1">AND(tblGroupD[[#This Row],[Table_Position]]=3,COUNTIFS(tblGroupThirdPlace[Team_Number],tblGroupD[[#This Row],[Team_Number]],tblGroupThirdPlace[Table_Position],"&lt;5")&gt;0)</f>
        <v>0</v>
      </c>
      <c r="AH44" s="28" t="s">
        <v>354</v>
      </c>
      <c r="AI44" s="28" t="str">
        <f>TEXT(INDEX(tblGroupMatch[],MATCH(tblMatchesD[[#This Row],[Match_Code]],tblGroupMatch[Match_Code],0),MATCH("Date &amp; Time",tblGroupMatch[#Headers],0)),"ddd dd mmm hh:mm")&amp;" ("&amp;INDEX(tblGroupMatch[],MATCH(tblMatchesD[[#This Row],[Match_Code]],tblGroupMatch[Match_Code],0),MATCH("TV_Station",tblGroupMatch[#Headers],0))&amp;")"</f>
        <v>Fri 18 Jun 20:00 (iTV)</v>
      </c>
      <c r="AJ44" s="28" t="str">
        <f>INDEX(tblGroupMatch[],MATCH(tblMatchesD[[#This Row],[Match_Code]],tblGroupMatch[Match_Code],0),MATCH("Team A Name",tblGroupMatch[#Headers],0))</f>
        <v>England</v>
      </c>
      <c r="AK44" s="28" t="str">
        <f>INDEX(tblGroupMatch[],MATCH(tblMatchesD[[#This Row],[Match_Code]],tblGroupMatch[Match_Code],0),MATCH("Team A Goals",tblGroupMatch[#Headers],0))&amp;IF(AND(tblMatchesD[[#This Row],[Team A Penalties]]&gt;0,tblMatchesD[[#This Row],[Team B Penalties]]&gt;0)," (Pen "&amp;tblMatchesD[[#This Row],[Team A Penalties]]&amp;")","")</f>
        <v/>
      </c>
      <c r="AL44" s="28">
        <f>INDEX(tblGroupMatch[],MATCH(tblMatchesD[[#This Row],[Match_Code]],tblGroupMatch[Match_Code],0),MATCH("Team A Penalties",tblGroupMatch[#Headers],0))</f>
        <v>0</v>
      </c>
      <c r="AM44" s="28">
        <f>INDEX(tblGroupMatch[],MATCH(tblMatchesD[[#This Row],[Match_Code]],tblGroupMatch[Match_Code],0),MATCH("Team B Penalties",tblGroupMatch[#Headers],0))</f>
        <v>0</v>
      </c>
      <c r="AN44" s="28" t="str">
        <f>IF(AND(tblMatchesD[[#This Row],[Team A Penalties]]&gt;0,tblMatchesD[[#This Row],[Team B Penalties]]&gt;0),"(Pen "&amp;tblMatchesD[[#This Row],[Team B Penalties]]&amp;") ","")&amp;INDEX(tblGroupMatch[],MATCH(tblMatchesD[[#This Row],[Match_Code]],tblGroupMatch[Match_Code],0),MATCH("Team B Goals",tblGroupMatch[#Headers],0))</f>
        <v/>
      </c>
      <c r="AO44" s="28" t="str">
        <f>INDEX(tblGroupMatch[],MATCH(tblMatchesD[[#This Row],[Match_Code]],tblGroupMatch[Match_Code],0),MATCH("Team B Name",tblGroupMatch[#Headers],0))</f>
        <v>Scotland</v>
      </c>
      <c r="AP44" s="28" t="str">
        <f>INDEX(tblGroupMatch[],MATCH(tblMatchesD[[#This Row],[Match_Code]],tblGroupMatch[Match_Code],0),MATCH("Venue",tblGroupMatch[#Headers],0))</f>
        <v>Wembley Stadium (ENG)</v>
      </c>
      <c r="AQ44" s="28" t="str">
        <f t="shared" si="3"/>
        <v xml:space="preserve"> - </v>
      </c>
      <c r="AS44" s="45"/>
      <c r="AT44" s="45"/>
      <c r="AU44" s="45"/>
      <c r="AV44" s="45"/>
      <c r="AW44" s="45"/>
      <c r="AX44" s="45"/>
      <c r="AY44" s="45"/>
      <c r="AZ44" s="45"/>
      <c r="BA44" s="45"/>
      <c r="BB44" s="45"/>
      <c r="BC44" s="45"/>
      <c r="BD44" s="45"/>
      <c r="BE44" s="45"/>
      <c r="BF44" s="45"/>
      <c r="BG44" s="45"/>
      <c r="BH44" s="45"/>
      <c r="BI44" s="45"/>
      <c r="BJ44" s="45"/>
      <c r="BK44" s="45"/>
      <c r="BL44" s="45"/>
      <c r="BM44" s="45"/>
      <c r="BN44" s="45"/>
      <c r="BO44" s="45"/>
    </row>
    <row r="45" spans="2:67" x14ac:dyDescent="0.3">
      <c r="AH45" s="28" t="s">
        <v>355</v>
      </c>
      <c r="AI45" s="28" t="str">
        <f>TEXT(INDEX(tblGroupMatch[],MATCH(tblMatchesD[[#This Row],[Match_Code]],tblGroupMatch[Match_Code],0),MATCH("Date &amp; Time",tblGroupMatch[#Headers],0)),"ddd dd mmm hh:mm")&amp;" ("&amp;INDEX(tblGroupMatch[],MATCH(tblMatchesD[[#This Row],[Match_Code]],tblGroupMatch[Match_Code],0),MATCH("TV_Station",tblGroupMatch[#Headers],0))&amp;")"</f>
        <v>Tue 22 Jun 20:00 (iTV)</v>
      </c>
      <c r="AJ45" s="28" t="str">
        <f>INDEX(tblGroupMatch[],MATCH(tblMatchesD[[#This Row],[Match_Code]],tblGroupMatch[Match_Code],0),MATCH("Team A Name",tblGroupMatch[#Headers],0))</f>
        <v>Croatia</v>
      </c>
      <c r="AK45" s="28" t="str">
        <f>INDEX(tblGroupMatch[],MATCH(tblMatchesD[[#This Row],[Match_Code]],tblGroupMatch[Match_Code],0),MATCH("Team A Goals",tblGroupMatch[#Headers],0))&amp;IF(AND(tblMatchesD[[#This Row],[Team A Penalties]]&gt;0,tblMatchesD[[#This Row],[Team B Penalties]]&gt;0)," (Pen "&amp;tblMatchesD[[#This Row],[Team A Penalties]]&amp;")","")</f>
        <v/>
      </c>
      <c r="AL45" s="28">
        <f>INDEX(tblGroupMatch[],MATCH(tblMatchesD[[#This Row],[Match_Code]],tblGroupMatch[Match_Code],0),MATCH("Team A Penalties",tblGroupMatch[#Headers],0))</f>
        <v>0</v>
      </c>
      <c r="AM45" s="28">
        <f>INDEX(tblGroupMatch[],MATCH(tblMatchesD[[#This Row],[Match_Code]],tblGroupMatch[Match_Code],0),MATCH("Team B Penalties",tblGroupMatch[#Headers],0))</f>
        <v>0</v>
      </c>
      <c r="AN45" s="28" t="str">
        <f>IF(AND(tblMatchesD[[#This Row],[Team A Penalties]]&gt;0,tblMatchesD[[#This Row],[Team B Penalties]]&gt;0),"(Pen "&amp;tblMatchesD[[#This Row],[Team B Penalties]]&amp;") ","")&amp;INDEX(tblGroupMatch[],MATCH(tblMatchesD[[#This Row],[Match_Code]],tblGroupMatch[Match_Code],0),MATCH("Team B Goals",tblGroupMatch[#Headers],0))</f>
        <v/>
      </c>
      <c r="AO45" s="28" t="str">
        <f>INDEX(tblGroupMatch[],MATCH(tblMatchesD[[#This Row],[Match_Code]],tblGroupMatch[Match_Code],0),MATCH("Team B Name",tblGroupMatch[#Headers],0))</f>
        <v>Scotland</v>
      </c>
      <c r="AP45" s="28" t="str">
        <f>INDEX(tblGroupMatch[],MATCH(tblMatchesD[[#This Row],[Match_Code]],tblGroupMatch[Match_Code],0),MATCH("Venue",tblGroupMatch[#Headers],0))</f>
        <v>Hampden Park (SCO)</v>
      </c>
      <c r="AQ45" s="28" t="str">
        <f t="shared" si="3"/>
        <v xml:space="preserve"> - </v>
      </c>
      <c r="AS45" s="45"/>
      <c r="AT45" s="45"/>
      <c r="AU45" s="45"/>
      <c r="AV45" s="45"/>
      <c r="AW45" s="45"/>
      <c r="AX45" s="45"/>
      <c r="AY45" s="45"/>
      <c r="AZ45" s="45"/>
      <c r="BA45" s="45"/>
      <c r="BB45" s="45"/>
      <c r="BC45" s="45"/>
      <c r="BD45" s="45"/>
      <c r="BE45" s="45"/>
      <c r="BF45" s="45"/>
      <c r="BG45" s="45"/>
      <c r="BH45" s="45"/>
      <c r="BI45" s="45"/>
      <c r="BJ45" s="45"/>
      <c r="BK45" s="45"/>
      <c r="BL45" s="45"/>
      <c r="BM45" s="45"/>
      <c r="BN45" s="45"/>
      <c r="BO45" s="45"/>
    </row>
    <row r="46" spans="2:67" x14ac:dyDescent="0.3">
      <c r="AH46" s="28" t="s">
        <v>356</v>
      </c>
      <c r="AI46" s="28" t="str">
        <f>TEXT(INDEX(tblGroupMatch[],MATCH(tblMatchesD[[#This Row],[Match_Code]],tblGroupMatch[Match_Code],0),MATCH("Date &amp; Time",tblGroupMatch[#Headers],0)),"ddd dd mmm hh:mm")&amp;" ("&amp;INDEX(tblGroupMatch[],MATCH(tblMatchesD[[#This Row],[Match_Code]],tblGroupMatch[Match_Code],0),MATCH("TV_Station",tblGroupMatch[#Headers],0))&amp;")"</f>
        <v>Tue 22 Jun 20:00 (iTV)</v>
      </c>
      <c r="AJ46" s="28" t="str">
        <f>INDEX(tblGroupMatch[],MATCH(tblMatchesD[[#This Row],[Match_Code]],tblGroupMatch[Match_Code],0),MATCH("Team A Name",tblGroupMatch[#Headers],0))</f>
        <v>Czech Republic</v>
      </c>
      <c r="AK46" s="28" t="str">
        <f>INDEX(tblGroupMatch[],MATCH(tblMatchesD[[#This Row],[Match_Code]],tblGroupMatch[Match_Code],0),MATCH("Team A Goals",tblGroupMatch[#Headers],0))&amp;IF(AND(tblMatchesD[[#This Row],[Team A Penalties]]&gt;0,tblMatchesD[[#This Row],[Team B Penalties]]&gt;0)," (Pen "&amp;tblMatchesD[[#This Row],[Team A Penalties]]&amp;")","")</f>
        <v/>
      </c>
      <c r="AL46" s="28">
        <f>INDEX(tblGroupMatch[],MATCH(tblMatchesD[[#This Row],[Match_Code]],tblGroupMatch[Match_Code],0),MATCH("Team A Penalties",tblGroupMatch[#Headers],0))</f>
        <v>0</v>
      </c>
      <c r="AM46" s="28">
        <f>INDEX(tblGroupMatch[],MATCH(tblMatchesD[[#This Row],[Match_Code]],tblGroupMatch[Match_Code],0),MATCH("Team B Penalties",tblGroupMatch[#Headers],0))</f>
        <v>0</v>
      </c>
      <c r="AN46" s="28" t="str">
        <f>IF(AND(tblMatchesD[[#This Row],[Team A Penalties]]&gt;0,tblMatchesD[[#This Row],[Team B Penalties]]&gt;0),"(Pen "&amp;tblMatchesD[[#This Row],[Team B Penalties]]&amp;") ","")&amp;INDEX(tblGroupMatch[],MATCH(tblMatchesD[[#This Row],[Match_Code]],tblGroupMatch[Match_Code],0),MATCH("Team B Goals",tblGroupMatch[#Headers],0))</f>
        <v/>
      </c>
      <c r="AO46" s="28" t="str">
        <f>INDEX(tblGroupMatch[],MATCH(tblMatchesD[[#This Row],[Match_Code]],tblGroupMatch[Match_Code],0),MATCH("Team B Name",tblGroupMatch[#Headers],0))</f>
        <v>England</v>
      </c>
      <c r="AP46" s="28" t="str">
        <f>INDEX(tblGroupMatch[],MATCH(tblMatchesD[[#This Row],[Match_Code]],tblGroupMatch[Match_Code],0),MATCH("Venue",tblGroupMatch[#Headers],0))</f>
        <v>Wembley Stadium (ENG)</v>
      </c>
      <c r="AQ46" s="28" t="str">
        <f t="shared" si="3"/>
        <v xml:space="preserve"> - </v>
      </c>
      <c r="AS46" s="45"/>
      <c r="AT46" s="45"/>
      <c r="AU46" s="45"/>
      <c r="AV46" s="45"/>
      <c r="AW46" s="45"/>
      <c r="AX46" s="45"/>
      <c r="AY46" s="45"/>
      <c r="AZ46" s="45"/>
      <c r="BA46" s="45"/>
      <c r="BB46" s="45"/>
      <c r="BC46" s="45"/>
      <c r="BD46" s="45"/>
      <c r="BE46" s="45"/>
      <c r="BF46" s="45"/>
      <c r="BG46" s="45"/>
      <c r="BH46" s="45"/>
      <c r="BI46" s="45"/>
      <c r="BJ46" s="45"/>
      <c r="BK46" s="45"/>
      <c r="BL46" s="45"/>
      <c r="BM46" s="45"/>
      <c r="BN46" s="45"/>
      <c r="BO46" s="45"/>
    </row>
    <row r="47" spans="2:67" s="45" customFormat="1" x14ac:dyDescent="0.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4"/>
      <c r="AE47" s="44"/>
      <c r="AH47" s="46"/>
      <c r="AI47" s="46"/>
      <c r="AJ47" s="46"/>
      <c r="AK47" s="46"/>
      <c r="AL47" s="46"/>
      <c r="AM47" s="46"/>
      <c r="AN47" s="46"/>
      <c r="AO47" s="46"/>
      <c r="AP47" s="46"/>
      <c r="AQ47" s="46"/>
    </row>
    <row r="48" spans="2:67" s="45" customFormat="1" x14ac:dyDescent="0.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4"/>
      <c r="AE48" s="44"/>
      <c r="AH48" s="46"/>
      <c r="AI48" s="46"/>
      <c r="AJ48" s="46"/>
      <c r="AK48" s="46"/>
      <c r="AL48" s="46"/>
      <c r="AM48" s="46"/>
      <c r="AN48" s="46"/>
      <c r="AO48" s="46"/>
      <c r="AP48" s="46"/>
      <c r="AQ48" s="46"/>
    </row>
    <row r="49" spans="2:67" s="45" customFormat="1" x14ac:dyDescent="0.3">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4"/>
      <c r="AE49" s="44"/>
      <c r="AH49" s="46"/>
      <c r="AI49" s="46"/>
      <c r="AJ49" s="46"/>
      <c r="AK49" s="46"/>
      <c r="AL49" s="46"/>
      <c r="AM49" s="46"/>
      <c r="AN49" s="46"/>
      <c r="AO49" s="46"/>
      <c r="AP49" s="46"/>
      <c r="AQ49" s="46"/>
    </row>
    <row r="50" spans="2:67" x14ac:dyDescent="0.3">
      <c r="AS50" s="45"/>
      <c r="AT50" s="45"/>
      <c r="AU50" s="45"/>
      <c r="AV50" s="45"/>
      <c r="AW50" s="45"/>
      <c r="AX50" s="45"/>
      <c r="AY50" s="45"/>
      <c r="AZ50" s="45"/>
      <c r="BA50" s="45"/>
      <c r="BB50" s="45"/>
      <c r="BC50" s="45"/>
      <c r="BD50" s="45"/>
      <c r="BE50" s="45"/>
      <c r="BF50" s="45"/>
      <c r="BG50" s="45"/>
      <c r="BH50" s="45"/>
      <c r="BI50" s="45"/>
      <c r="BJ50" s="45"/>
      <c r="BK50" s="45"/>
      <c r="BL50" s="45"/>
      <c r="BM50" s="45"/>
      <c r="BN50" s="45"/>
      <c r="BO50" s="45"/>
    </row>
    <row r="51" spans="2:67" x14ac:dyDescent="0.3">
      <c r="B51" s="27" t="s">
        <v>308</v>
      </c>
      <c r="C51" s="27" t="s">
        <v>39</v>
      </c>
      <c r="D51" s="27" t="s">
        <v>318</v>
      </c>
      <c r="E51" s="27" t="s">
        <v>319</v>
      </c>
      <c r="F51" s="27" t="s">
        <v>320</v>
      </c>
      <c r="G51" s="27" t="s">
        <v>321</v>
      </c>
      <c r="H51" s="27" t="s">
        <v>322</v>
      </c>
      <c r="I51" s="27" t="s">
        <v>323</v>
      </c>
      <c r="J51" s="27" t="s">
        <v>324</v>
      </c>
      <c r="K51" s="27" t="s">
        <v>325</v>
      </c>
      <c r="L51" s="27" t="s">
        <v>326</v>
      </c>
      <c r="M51" s="27" t="s">
        <v>327</v>
      </c>
      <c r="N51" s="27" t="s">
        <v>328</v>
      </c>
      <c r="O51" s="27" t="s">
        <v>218</v>
      </c>
      <c r="P51" s="27" t="s">
        <v>306</v>
      </c>
      <c r="Q51" s="27" t="s">
        <v>358</v>
      </c>
      <c r="R51" s="27" t="s">
        <v>357</v>
      </c>
      <c r="S51" s="27" t="s">
        <v>359</v>
      </c>
      <c r="T51" s="27" t="s">
        <v>362</v>
      </c>
      <c r="U51" s="27" t="s">
        <v>361</v>
      </c>
      <c r="V51" s="27" t="s">
        <v>360</v>
      </c>
      <c r="W51" s="27" t="s">
        <v>363</v>
      </c>
      <c r="X51" s="27" t="s">
        <v>364</v>
      </c>
      <c r="Y51" s="27" t="s">
        <v>365</v>
      </c>
      <c r="Z51" s="27" t="s">
        <v>366</v>
      </c>
      <c r="AA51" s="27" t="s">
        <v>367</v>
      </c>
      <c r="AB51" s="27" t="s">
        <v>368</v>
      </c>
      <c r="AC51" s="27" t="s">
        <v>369</v>
      </c>
      <c r="AD51" s="27" t="s">
        <v>370</v>
      </c>
      <c r="AE51" s="27" t="s">
        <v>427</v>
      </c>
      <c r="AH51" s="28" t="s">
        <v>250</v>
      </c>
      <c r="AI51" s="28" t="s">
        <v>189</v>
      </c>
      <c r="AJ51" s="28" t="s">
        <v>178</v>
      </c>
      <c r="AK51" s="28" t="s">
        <v>179</v>
      </c>
      <c r="AL51" s="28" t="s">
        <v>182</v>
      </c>
      <c r="AM51" s="28" t="s">
        <v>187</v>
      </c>
      <c r="AN51" s="28" t="s">
        <v>184</v>
      </c>
      <c r="AO51" s="28" t="s">
        <v>183</v>
      </c>
      <c r="AP51" s="28" t="s">
        <v>177</v>
      </c>
      <c r="AQ51" s="28" t="s">
        <v>336</v>
      </c>
      <c r="AS51" s="45"/>
      <c r="AT51" s="45"/>
      <c r="AU51" s="45"/>
      <c r="AV51" s="45"/>
      <c r="AW51" s="45"/>
      <c r="AX51" s="45"/>
      <c r="AY51" s="45"/>
      <c r="AZ51" s="45"/>
      <c r="BA51" s="45"/>
      <c r="BB51" s="45"/>
      <c r="BC51" s="45"/>
      <c r="BD51" s="45"/>
      <c r="BE51" s="45"/>
      <c r="BF51" s="45"/>
      <c r="BG51" s="45"/>
      <c r="BH51" s="45"/>
      <c r="BI51" s="45"/>
      <c r="BJ51" s="45"/>
      <c r="BK51" s="45"/>
      <c r="BL51" s="45"/>
      <c r="BM51" s="45"/>
      <c r="BN51" s="45"/>
      <c r="BO51" s="45"/>
    </row>
    <row r="52" spans="2:67" x14ac:dyDescent="0.3">
      <c r="B52" s="27" t="s">
        <v>231</v>
      </c>
      <c r="C52" s="27">
        <f ca="1">INDEX(tblGroupTotals[],MATCH(tblGroupE[[#This Row],[Table_Rank_Code]],tblGroupTotals[Table_Rank_Code],0),MATCH("Team_Number",tblGroupTotals[#Headers],0))</f>
        <v>19</v>
      </c>
      <c r="D52" s="27">
        <v>1</v>
      </c>
      <c r="E52" s="27" t="str">
        <f ca="1">INDEX(lkupTeam[],MATCH(tblGroupE[[#This Row],[Team_Number]],lkupTeam[Team_Number],0),MATCH("Team",lkupTeam[#Headers],0))</f>
        <v>Spain</v>
      </c>
      <c r="F52" s="27">
        <f ca="1">INDEX(tblGroupTotals[],MATCH(tblGroupE[[#This Row],[Table_Rank_Code]],tblGroupTotals[Table_Rank_Code],0),MATCH("Total_Games",tblGroupTotals[#Headers],0))</f>
        <v>0</v>
      </c>
      <c r="G52" s="27">
        <f ca="1">INDEX(tblGroupTotals[],MATCH(tblGroupE[[#This Row],[Table_Rank_Code]],tblGroupTotals[Table_Rank_Code],0),MATCH("Total_Wins",tblGroupTotals[#Headers],0))</f>
        <v>0</v>
      </c>
      <c r="H52" s="27">
        <f ca="1">INDEX(tblGroupTotals[],MATCH(tblGroupE[[#This Row],[Table_Rank_Code]],tblGroupTotals[Table_Rank_Code],0),MATCH("Total_Draws",tblGroupTotals[#Headers],0))</f>
        <v>0</v>
      </c>
      <c r="I52" s="27">
        <f ca="1">INDEX(tblGroupTotals[],MATCH(tblGroupE[[#This Row],[Table_Rank_Code]],tblGroupTotals[Table_Rank_Code],0),MATCH("Total_Loses",tblGroupTotals[#Headers],0))</f>
        <v>0</v>
      </c>
      <c r="J52" s="27">
        <f ca="1">INDEX(tblGroupTotals[],MATCH(tblGroupE[[#This Row],[Table_Rank_Code]],tblGroupTotals[Table_Rank_Code],0),MATCH("Total_Goals_For",tblGroupTotals[#Headers],0))</f>
        <v>0</v>
      </c>
      <c r="K52" s="27">
        <f ca="1">INDEX(tblGroupTotals[],MATCH(tblGroupE[[#This Row],[Table_Rank_Code]],tblGroupTotals[Table_Rank_Code],0),MATCH("Total_Goals_Against",tblGroupTotals[#Headers],0))</f>
        <v>0</v>
      </c>
      <c r="L52" s="27">
        <f ca="1">INDEX(tblGroupTotals[],MATCH(tblGroupE[[#This Row],[Table_Rank_Code]],tblGroupTotals[Table_Rank_Code],0),MATCH("Goal_Difference",tblGroupTotals[#Headers],0))</f>
        <v>0</v>
      </c>
      <c r="M52" s="27">
        <f ca="1">INDEX(tblGroupTotals[],MATCH(tblGroupE[[#This Row],[Table_Rank_Code]],tblGroupTotals[Table_Rank_Code],0),MATCH("Total_Points",tblGroupTotals[#Headers],0))</f>
        <v>0</v>
      </c>
      <c r="N52" s="27" t="str">
        <f ca="1">IF(INDEX(tblGroupTotals[],MATCH(tblGroupE[[#This Row],[Table_Rank_Code]],tblGroupTotals[Table_Rank_Code],0),MATCH("Group_Points_TieBreak_Rank_1",tblGroupTotals[#Headers],0))&lt;&gt;4,INDEX(tblGroupTotals[],MATCH(tblGroupE[[#This Row],[Table_Rank_Code]],tblGroupTotals[Table_Rank_Code],0),MATCH("Group_Points_TieBreak_Rank_1",tblGroupTotals[#Headers],0)),"")</f>
        <v/>
      </c>
      <c r="O52" s="27">
        <f ca="1">INDEX(tblGroupTotals[],MATCH(tblGroupE[[#This Row],[Table_Rank_Code]],tblGroupTotals[Table_Rank_Code],0),MATCH("Total_Diciplinary_Points",tblGroupTotals[#Headers],0))</f>
        <v>0</v>
      </c>
      <c r="P52" s="27">
        <f ca="1">INDEX(tblGroupTotals[],MATCH(tblGroupE[[#This Row],[Table_Rank_Code]],tblGroupTotals[Table_Rank_Code],0),MATCH("Total_Group_Rank_Value",tblGroupTotals[#Headers],0))</f>
        <v>144111111</v>
      </c>
      <c r="Q52" s="27" t="str">
        <f ca="1">LEFT(tblGroupE[[#This Row],[Total_Group_Rank_Value]],1)</f>
        <v>1</v>
      </c>
      <c r="R52" s="27" t="str">
        <f ca="1">LEFT(tblGroupE[[#This Row],[Total_Group_Rank_Value]],3)</f>
        <v>144</v>
      </c>
      <c r="S52" s="27" t="str">
        <f ca="1">LEFT(tblGroupE[[#This Row],[Total_Group_Rank_Value]],5)</f>
        <v>14411</v>
      </c>
      <c r="T52" s="27" t="str">
        <f ca="1">LEFT(tblGroupE[[#This Row],[Total_Group_Rank_Value]],6)</f>
        <v>144111</v>
      </c>
      <c r="U52" s="27" t="str">
        <f ca="1">LEFT(tblGroupE[[#This Row],[Total_Group_Rank_Value]],7)</f>
        <v>1441111</v>
      </c>
      <c r="V52" s="27" t="str">
        <f ca="1">LEFT(tblGroupE[[#This Row],[Total_Group_Rank_Value]],8)</f>
        <v>14411111</v>
      </c>
      <c r="W52" s="27" t="b">
        <f ca="1">COUNTIF(tblGroupE[Group_Point_Rank_Value],tblGroupE[[#This Row],[Group_Point_Rank_Value]])&gt;1</f>
        <v>1</v>
      </c>
      <c r="X52" s="27" t="b">
        <f ca="1">COUNTIF(tblGroupE[Head_To_Head_Rank_Value],tblGroupE[[#This Row],[Head_To_Head_Rank_Value]])&gt;1</f>
        <v>1</v>
      </c>
      <c r="Y52" s="27" t="b">
        <f ca="1">COUNTIF(tblGroupE[Group_Goals_Rank_Value],tblGroupE[[#This Row],[Group_Goals_Rank_Value]])&gt;1</f>
        <v>1</v>
      </c>
      <c r="Z52" s="27" t="b">
        <f ca="1">COUNTIF(tblGroupE[Wins_Rank_Value],tblGroupE[[#This Row],[Wins_Rank_Value]])&gt;1</f>
        <v>1</v>
      </c>
      <c r="AA52" s="27" t="b">
        <f ca="1">COUNTIF(tblGroupE[Penalty_Rank_Value],tblGroupE[[#This Row],[Penalty_Rank_Value]])&gt;1</f>
        <v>1</v>
      </c>
      <c r="AB52" s="27" t="b">
        <f ca="1">COUNTIF(tblGroupE[Diciplinary_Rank_Value],tblGroupE[[#This Row],[Diciplinary_Rank_Value]])&gt;1</f>
        <v>1</v>
      </c>
      <c r="AC52" s="27" t="b">
        <f ca="1">COUNTIF(tblGroupE[Total_Group_Rank_Value],tblGroupE[[#This Row],[Total_Group_Rank_Value]])&gt;1</f>
        <v>0</v>
      </c>
      <c r="AD52" s="27" t="str">
        <f ca="1">IF(tblGroupE[[#This Row],[Points_Match]],IF(tblGroupE[[#This Row],[H2H_Match]],IF(tblGroupE[[#This Row],[Goals_Match]],IF(tblGroupE[[#This Row],[Wins_Match]],IF(tblGroupE[[#This Row],[Penalty_Match]],IF(tblGroupE[[#This Row],[Disciplinary_Match]],"Euro Qualifier Rank","Disciplinary Points ("&amp;tblGroupE[[#This Row],[Total_Diciplinary_Points]]&amp;")"),"Penalties"),"Wins ("&amp;tblGroupE[[#This Row],[Table_Won]]&amp;")"),""),"Head 2 Head ("&amp;tblGroupE[[#This Row],[Table_Head_to_Head_Rank]]&amp;")"),"")</f>
        <v>Euro Qualifier Rank</v>
      </c>
      <c r="AE52" s="27" t="b">
        <f ca="1">AND(tblGroupE[[#This Row],[Table_Position]]=3,COUNTIFS(tblGroupThirdPlace[Team_Number],tblGroupE[[#This Row],[Team_Number]],tblGroupThirdPlace[Table_Position],"&lt;5")&gt;0)</f>
        <v>0</v>
      </c>
      <c r="AH52" s="28" t="s">
        <v>371</v>
      </c>
      <c r="AI52" s="28" t="str">
        <f>TEXT(INDEX(tblGroupMatch[],MATCH(tblMatchesE[[#This Row],[Match_Code]],tblGroupMatch[Match_Code],0),MATCH("Date &amp; Time",tblGroupMatch[#Headers],0)),"ddd dd mmm hh:mm")&amp;" ("&amp;INDEX(tblGroupMatch[],MATCH(tblMatchesE[[#This Row],[Match_Code]],tblGroupMatch[Match_Code],0),MATCH("TV_Station",tblGroupMatch[#Headers],0))&amp;")"</f>
        <v>Mon 14 Jun 17:00 (iTV)</v>
      </c>
      <c r="AJ52" s="28" t="str">
        <f>INDEX(tblGroupMatch[],MATCH(tblMatchesE[[#This Row],[Match_Code]],tblGroupMatch[Match_Code],0),MATCH("Team A Name",tblGroupMatch[#Headers],0))</f>
        <v>Poland</v>
      </c>
      <c r="AK52" s="28" t="str">
        <f>INDEX(tblGroupMatch[],MATCH(tblMatchesE[[#This Row],[Match_Code]],tblGroupMatch[Match_Code],0),MATCH("Team A Goals",tblGroupMatch[#Headers],0))&amp;IF(AND(tblMatchesE[[#This Row],[Team A Penalties]]&gt;0,tblMatchesE[[#This Row],[Team B Penalties]]&gt;0)," (Pen "&amp;tblMatchesE[[#This Row],[Team A Penalties]]&amp;")","")</f>
        <v/>
      </c>
      <c r="AL52" s="28">
        <f>INDEX(tblGroupMatch[],MATCH(tblMatchesE[[#This Row],[Match_Code]],tblGroupMatch[Match_Code],0),MATCH("Team A Penalties",tblGroupMatch[#Headers],0))</f>
        <v>0</v>
      </c>
      <c r="AM52" s="28">
        <f>INDEX(tblGroupMatch[],MATCH(tblMatchesE[[#This Row],[Match_Code]],tblGroupMatch[Match_Code],0),MATCH("Team B Penalties",tblGroupMatch[#Headers],0))</f>
        <v>0</v>
      </c>
      <c r="AN52" s="28" t="str">
        <f>IF(AND(tblMatchesE[[#This Row],[Team A Penalties]]&gt;0,tblMatchesE[[#This Row],[Team B Penalties]]&gt;0),"(Pen "&amp;tblMatchesE[[#This Row],[Team B Penalties]]&amp;") ","")&amp;INDEX(tblGroupMatch[],MATCH(tblMatchesE[[#This Row],[Match_Code]],tblGroupMatch[Match_Code],0),MATCH("Team B Goals",tblGroupMatch[#Headers],0))</f>
        <v/>
      </c>
      <c r="AO52" s="28" t="str">
        <f>INDEX(tblGroupMatch[],MATCH(tblMatchesE[[#This Row],[Match_Code]],tblGroupMatch[Match_Code],0),MATCH("Team B Name",tblGroupMatch[#Headers],0))</f>
        <v>Slovakia</v>
      </c>
      <c r="AP52" s="28" t="str">
        <f>INDEX(tblGroupMatch[],MATCH(tblMatchesE[[#This Row],[Match_Code]],tblGroupMatch[Match_Code],0),MATCH("Venue",tblGroupMatch[#Headers],0))</f>
        <v>Krestovsky Stadium (RUS)</v>
      </c>
      <c r="AQ52" s="28" t="str">
        <f>" - "</f>
        <v xml:space="preserve"> - </v>
      </c>
      <c r="AS52" s="45"/>
      <c r="AT52" s="45"/>
      <c r="AU52" s="45"/>
      <c r="AV52" s="45"/>
      <c r="AW52" s="45"/>
      <c r="AX52" s="45"/>
      <c r="AY52" s="45"/>
      <c r="AZ52" s="45"/>
      <c r="BA52" s="45"/>
      <c r="BB52" s="45"/>
      <c r="BC52" s="45"/>
      <c r="BD52" s="45"/>
      <c r="BE52" s="45"/>
      <c r="BF52" s="45"/>
      <c r="BG52" s="45"/>
      <c r="BH52" s="45"/>
      <c r="BI52" s="45"/>
      <c r="BJ52" s="45"/>
      <c r="BK52" s="45"/>
      <c r="BL52" s="45"/>
      <c r="BM52" s="45"/>
      <c r="BN52" s="45"/>
      <c r="BO52" s="45"/>
    </row>
    <row r="53" spans="2:67" x14ac:dyDescent="0.3">
      <c r="B53" s="27" t="s">
        <v>232</v>
      </c>
      <c r="C53" s="27">
        <f ca="1">INDEX(tblGroupTotals[],MATCH(tblGroupE[[#This Row],[Table_Rank_Code]],tblGroupTotals[Table_Rank_Code],0),MATCH("Team_Number",tblGroupTotals[#Headers],0))</f>
        <v>17</v>
      </c>
      <c r="D53" s="27">
        <v>2</v>
      </c>
      <c r="E53" s="27" t="str">
        <f ca="1">INDEX(lkupTeam[],MATCH(tblGroupE[[#This Row],[Team_Number]],lkupTeam[Team_Number],0),MATCH("Team",lkupTeam[#Headers],0))</f>
        <v>Poland</v>
      </c>
      <c r="F53" s="27">
        <f ca="1">INDEX(tblGroupTotals[],MATCH(tblGroupE[[#This Row],[Table_Rank_Code]],tblGroupTotals[Table_Rank_Code],0),MATCH("Total_Games",tblGroupTotals[#Headers],0))</f>
        <v>0</v>
      </c>
      <c r="G53" s="27">
        <f ca="1">INDEX(tblGroupTotals[],MATCH(tblGroupE[[#This Row],[Table_Rank_Code]],tblGroupTotals[Table_Rank_Code],0),MATCH("Total_Wins",tblGroupTotals[#Headers],0))</f>
        <v>0</v>
      </c>
      <c r="H53" s="27">
        <f ca="1">INDEX(tblGroupTotals[],MATCH(tblGroupE[[#This Row],[Table_Rank_Code]],tblGroupTotals[Table_Rank_Code],0),MATCH("Total_Draws",tblGroupTotals[#Headers],0))</f>
        <v>0</v>
      </c>
      <c r="I53" s="27">
        <f ca="1">INDEX(tblGroupTotals[],MATCH(tblGroupE[[#This Row],[Table_Rank_Code]],tblGroupTotals[Table_Rank_Code],0),MATCH("Total_Loses",tblGroupTotals[#Headers],0))</f>
        <v>0</v>
      </c>
      <c r="J53" s="27">
        <f ca="1">INDEX(tblGroupTotals[],MATCH(tblGroupE[[#This Row],[Table_Rank_Code]],tblGroupTotals[Table_Rank_Code],0),MATCH("Total_Goals_For",tblGroupTotals[#Headers],0))</f>
        <v>0</v>
      </c>
      <c r="K53" s="27">
        <f ca="1">INDEX(tblGroupTotals[],MATCH(tblGroupE[[#This Row],[Table_Rank_Code]],tblGroupTotals[Table_Rank_Code],0),MATCH("Total_Goals_Against",tblGroupTotals[#Headers],0))</f>
        <v>0</v>
      </c>
      <c r="L53" s="27">
        <f ca="1">INDEX(tblGroupTotals[],MATCH(tblGroupE[[#This Row],[Table_Rank_Code]],tblGroupTotals[Table_Rank_Code],0),MATCH("Goal_Difference",tblGroupTotals[#Headers],0))</f>
        <v>0</v>
      </c>
      <c r="M53" s="27">
        <f ca="1">INDEX(tblGroupTotals[],MATCH(tblGroupE[[#This Row],[Table_Rank_Code]],tblGroupTotals[Table_Rank_Code],0),MATCH("Total_Points",tblGroupTotals[#Headers],0))</f>
        <v>0</v>
      </c>
      <c r="N53" s="27" t="str">
        <f ca="1">IF(INDEX(tblGroupTotals[],MATCH(tblGroupE[[#This Row],[Table_Rank_Code]],tblGroupTotals[Table_Rank_Code],0),MATCH("Group_Points_TieBreak_Rank_1",tblGroupTotals[#Headers],0))&lt;&gt;4,INDEX(tblGroupTotals[],MATCH(tblGroupE[[#This Row],[Table_Rank_Code]],tblGroupTotals[Table_Rank_Code],0),MATCH("Group_Points_TieBreak_Rank_1",tblGroupTotals[#Headers],0)),"")</f>
        <v/>
      </c>
      <c r="O53" s="27">
        <f ca="1">INDEX(tblGroupTotals[],MATCH(tblGroupE[[#This Row],[Table_Rank_Code]],tblGroupTotals[Table_Rank_Code],0),MATCH("Total_Diciplinary_Points",tblGroupTotals[#Headers],0))</f>
        <v>0</v>
      </c>
      <c r="P53" s="27">
        <f ca="1">INDEX(tblGroupTotals[],MATCH(tblGroupE[[#This Row],[Table_Rank_Code]],tblGroupTotals[Table_Rank_Code],0),MATCH("Total_Group_Rank_Value",tblGroupTotals[#Headers],0))</f>
        <v>144111112</v>
      </c>
      <c r="Q53" s="27" t="str">
        <f ca="1">LEFT(tblGroupE[[#This Row],[Total_Group_Rank_Value]],1)</f>
        <v>1</v>
      </c>
      <c r="R53" s="27" t="str">
        <f ca="1">LEFT(tblGroupE[[#This Row],[Total_Group_Rank_Value]],3)</f>
        <v>144</v>
      </c>
      <c r="S53" s="27" t="str">
        <f ca="1">LEFT(tblGroupE[[#This Row],[Total_Group_Rank_Value]],5)</f>
        <v>14411</v>
      </c>
      <c r="T53" s="27" t="str">
        <f ca="1">LEFT(tblGroupE[[#This Row],[Total_Group_Rank_Value]],6)</f>
        <v>144111</v>
      </c>
      <c r="U53" s="27" t="str">
        <f ca="1">LEFT(tblGroupE[[#This Row],[Total_Group_Rank_Value]],7)</f>
        <v>1441111</v>
      </c>
      <c r="V53" s="27" t="str">
        <f ca="1">LEFT(tblGroupE[[#This Row],[Total_Group_Rank_Value]],8)</f>
        <v>14411111</v>
      </c>
      <c r="W53" s="27" t="b">
        <f ca="1">COUNTIF(tblGroupE[Group_Point_Rank_Value],tblGroupE[[#This Row],[Group_Point_Rank_Value]])&gt;1</f>
        <v>1</v>
      </c>
      <c r="X53" s="27" t="b">
        <f ca="1">COUNTIF(tblGroupE[Head_To_Head_Rank_Value],tblGroupE[[#This Row],[Head_To_Head_Rank_Value]])&gt;1</f>
        <v>1</v>
      </c>
      <c r="Y53" s="27" t="b">
        <f ca="1">COUNTIF(tblGroupE[Group_Goals_Rank_Value],tblGroupE[[#This Row],[Group_Goals_Rank_Value]])&gt;1</f>
        <v>1</v>
      </c>
      <c r="Z53" s="27" t="b">
        <f ca="1">COUNTIF(tblGroupE[Wins_Rank_Value],tblGroupE[[#This Row],[Wins_Rank_Value]])&gt;1</f>
        <v>1</v>
      </c>
      <c r="AA53" s="27" t="b">
        <f ca="1">COUNTIF(tblGroupE[Penalty_Rank_Value],tblGroupE[[#This Row],[Penalty_Rank_Value]])&gt;1</f>
        <v>1</v>
      </c>
      <c r="AB53" s="27" t="b">
        <f ca="1">COUNTIF(tblGroupE[Diciplinary_Rank_Value],tblGroupE[[#This Row],[Diciplinary_Rank_Value]])&gt;1</f>
        <v>1</v>
      </c>
      <c r="AC53" s="27" t="b">
        <f ca="1">COUNTIF(tblGroupE[Total_Group_Rank_Value],tblGroupE[[#This Row],[Total_Group_Rank_Value]])&gt;1</f>
        <v>0</v>
      </c>
      <c r="AD53" s="27" t="str">
        <f ca="1">IF(tblGroupE[[#This Row],[Points_Match]],IF(tblGroupE[[#This Row],[H2H_Match]],IF(tblGroupE[[#This Row],[Goals_Match]],IF(tblGroupE[[#This Row],[Wins_Match]],IF(tblGroupE[[#This Row],[Penalty_Match]],IF(tblGroupE[[#This Row],[Disciplinary_Match]],"Euro Qualifier Rank","Disciplinary Points ("&amp;tblGroupE[[#This Row],[Total_Diciplinary_Points]]&amp;")"),"Penalties"),"Wins ("&amp;tblGroupE[[#This Row],[Table_Won]]&amp;")"),""),"Head 2 Head ("&amp;tblGroupE[[#This Row],[Table_Head_to_Head_Rank]]&amp;")"),"")</f>
        <v>Euro Qualifier Rank</v>
      </c>
      <c r="AE53" s="27" t="b">
        <f ca="1">AND(tblGroupE[[#This Row],[Table_Position]]=3,COUNTIFS(tblGroupThirdPlace[Team_Number],tblGroupE[[#This Row],[Team_Number]],tblGroupThirdPlace[Table_Position],"&lt;5")&gt;0)</f>
        <v>0</v>
      </c>
      <c r="AH53" s="28" t="s">
        <v>372</v>
      </c>
      <c r="AI53" s="28" t="str">
        <f>TEXT(INDEX(tblGroupMatch[],MATCH(tblMatchesE[[#This Row],[Match_Code]],tblGroupMatch[Match_Code],0),MATCH("Date &amp; Time",tblGroupMatch[#Headers],0)),"ddd dd mmm hh:mm")&amp;" ("&amp;INDEX(tblGroupMatch[],MATCH(tblMatchesE[[#This Row],[Match_Code]],tblGroupMatch[Match_Code],0),MATCH("TV_Station",tblGroupMatch[#Headers],0))&amp;")"</f>
        <v>Mon 14 Jun 20:00 (BBC)</v>
      </c>
      <c r="AJ53" s="28" t="str">
        <f>INDEX(tblGroupMatch[],MATCH(tblMatchesE[[#This Row],[Match_Code]],tblGroupMatch[Match_Code],0),MATCH("Team A Name",tblGroupMatch[#Headers],0))</f>
        <v>Spain</v>
      </c>
      <c r="AK53" s="28" t="str">
        <f>INDEX(tblGroupMatch[],MATCH(tblMatchesE[[#This Row],[Match_Code]],tblGroupMatch[Match_Code],0),MATCH("Team A Goals",tblGroupMatch[#Headers],0))&amp;IF(AND(tblMatchesE[[#This Row],[Team A Penalties]]&gt;0,tblMatchesE[[#This Row],[Team B Penalties]]&gt;0)," (Pen "&amp;tblMatchesE[[#This Row],[Team A Penalties]]&amp;")","")</f>
        <v/>
      </c>
      <c r="AL53" s="28">
        <f>INDEX(tblGroupMatch[],MATCH(tblMatchesE[[#This Row],[Match_Code]],tblGroupMatch[Match_Code],0),MATCH("Team A Penalties",tblGroupMatch[#Headers],0))</f>
        <v>0</v>
      </c>
      <c r="AM53" s="28">
        <f>INDEX(tblGroupMatch[],MATCH(tblMatchesE[[#This Row],[Match_Code]],tblGroupMatch[Match_Code],0),MATCH("Team B Penalties",tblGroupMatch[#Headers],0))</f>
        <v>0</v>
      </c>
      <c r="AN53" s="28" t="str">
        <f>IF(AND(tblMatchesE[[#This Row],[Team A Penalties]]&gt;0,tblMatchesE[[#This Row],[Team B Penalties]]&gt;0),"(Pen "&amp;tblMatchesE[[#This Row],[Team B Penalties]]&amp;") ","")&amp;INDEX(tblGroupMatch[],MATCH(tblMatchesE[[#This Row],[Match_Code]],tblGroupMatch[Match_Code],0),MATCH("Team B Goals",tblGroupMatch[#Headers],0))</f>
        <v/>
      </c>
      <c r="AO53" s="28" t="str">
        <f>INDEX(tblGroupMatch[],MATCH(tblMatchesE[[#This Row],[Match_Code]],tblGroupMatch[Match_Code],0),MATCH("Team B Name",tblGroupMatch[#Headers],0))</f>
        <v>Sweden</v>
      </c>
      <c r="AP53" s="28" t="str">
        <f>INDEX(tblGroupMatch[],MATCH(tblMatchesE[[#This Row],[Match_Code]],tblGroupMatch[Match_Code],0),MATCH("Venue",tblGroupMatch[#Headers],0))</f>
        <v>La Cartuja (SPA)</v>
      </c>
      <c r="AQ53" s="28" t="str">
        <f t="shared" ref="AQ53:AQ57" si="4">" - "</f>
        <v xml:space="preserve"> - </v>
      </c>
      <c r="AS53" s="45"/>
      <c r="AT53" s="45"/>
      <c r="AU53" s="45"/>
      <c r="AV53" s="45"/>
      <c r="AW53" s="45"/>
      <c r="AX53" s="45"/>
      <c r="AY53" s="45"/>
      <c r="AZ53" s="45"/>
      <c r="BA53" s="45"/>
      <c r="BB53" s="45"/>
      <c r="BC53" s="45"/>
      <c r="BD53" s="45"/>
      <c r="BE53" s="45"/>
      <c r="BF53" s="45"/>
      <c r="BG53" s="45"/>
      <c r="BH53" s="45"/>
      <c r="BI53" s="45"/>
      <c r="BJ53" s="45"/>
      <c r="BK53" s="45"/>
      <c r="BL53" s="45"/>
      <c r="BM53" s="45"/>
      <c r="BN53" s="45"/>
      <c r="BO53" s="45"/>
    </row>
    <row r="54" spans="2:67" x14ac:dyDescent="0.3">
      <c r="B54" s="27" t="s">
        <v>233</v>
      </c>
      <c r="C54" s="27">
        <f ca="1">INDEX(tblGroupTotals[],MATCH(tblGroupE[[#This Row],[Table_Rank_Code]],tblGroupTotals[Table_Rank_Code],0),MATCH("Team_Number",tblGroupTotals[#Headers],0))</f>
        <v>20</v>
      </c>
      <c r="D54" s="27">
        <v>3</v>
      </c>
      <c r="E54" s="27" t="str">
        <f ca="1">INDEX(lkupTeam[],MATCH(tblGroupE[[#This Row],[Team_Number]],lkupTeam[Team_Number],0),MATCH("Team",lkupTeam[#Headers],0))</f>
        <v>Sweden</v>
      </c>
      <c r="F54" s="27">
        <f ca="1">INDEX(tblGroupTotals[],MATCH(tblGroupE[[#This Row],[Table_Rank_Code]],tblGroupTotals[Table_Rank_Code],0),MATCH("Total_Games",tblGroupTotals[#Headers],0))</f>
        <v>0</v>
      </c>
      <c r="G54" s="27">
        <f ca="1">INDEX(tblGroupTotals[],MATCH(tblGroupE[[#This Row],[Table_Rank_Code]],tblGroupTotals[Table_Rank_Code],0),MATCH("Total_Wins",tblGroupTotals[#Headers],0))</f>
        <v>0</v>
      </c>
      <c r="H54" s="27">
        <f ca="1">INDEX(tblGroupTotals[],MATCH(tblGroupE[[#This Row],[Table_Rank_Code]],tblGroupTotals[Table_Rank_Code],0),MATCH("Total_Draws",tblGroupTotals[#Headers],0))</f>
        <v>0</v>
      </c>
      <c r="I54" s="27">
        <f ca="1">INDEX(tblGroupTotals[],MATCH(tblGroupE[[#This Row],[Table_Rank_Code]],tblGroupTotals[Table_Rank_Code],0),MATCH("Total_Loses",tblGroupTotals[#Headers],0))</f>
        <v>0</v>
      </c>
      <c r="J54" s="27">
        <f ca="1">INDEX(tblGroupTotals[],MATCH(tblGroupE[[#This Row],[Table_Rank_Code]],tblGroupTotals[Table_Rank_Code],0),MATCH("Total_Goals_For",tblGroupTotals[#Headers],0))</f>
        <v>0</v>
      </c>
      <c r="K54" s="27">
        <f ca="1">INDEX(tblGroupTotals[],MATCH(tblGroupE[[#This Row],[Table_Rank_Code]],tblGroupTotals[Table_Rank_Code],0),MATCH("Total_Goals_Against",tblGroupTotals[#Headers],0))</f>
        <v>0</v>
      </c>
      <c r="L54" s="27">
        <f ca="1">INDEX(tblGroupTotals[],MATCH(tblGroupE[[#This Row],[Table_Rank_Code]],tblGroupTotals[Table_Rank_Code],0),MATCH("Goal_Difference",tblGroupTotals[#Headers],0))</f>
        <v>0</v>
      </c>
      <c r="M54" s="27">
        <f ca="1">INDEX(tblGroupTotals[],MATCH(tblGroupE[[#This Row],[Table_Rank_Code]],tblGroupTotals[Table_Rank_Code],0),MATCH("Total_Points",tblGroupTotals[#Headers],0))</f>
        <v>0</v>
      </c>
      <c r="N54" s="27" t="str">
        <f ca="1">IF(INDEX(tblGroupTotals[],MATCH(tblGroupE[[#This Row],[Table_Rank_Code]],tblGroupTotals[Table_Rank_Code],0),MATCH("Group_Points_TieBreak_Rank_1",tblGroupTotals[#Headers],0))&lt;&gt;4,INDEX(tblGroupTotals[],MATCH(tblGroupE[[#This Row],[Table_Rank_Code]],tblGroupTotals[Table_Rank_Code],0),MATCH("Group_Points_TieBreak_Rank_1",tblGroupTotals[#Headers],0)),"")</f>
        <v/>
      </c>
      <c r="O54" s="27">
        <f ca="1">INDEX(tblGroupTotals[],MATCH(tblGroupE[[#This Row],[Table_Rank_Code]],tblGroupTotals[Table_Rank_Code],0),MATCH("Total_Diciplinary_Points",tblGroupTotals[#Headers],0))</f>
        <v>0</v>
      </c>
      <c r="P54" s="27">
        <f ca="1">INDEX(tblGroupTotals[],MATCH(tblGroupE[[#This Row],[Table_Rank_Code]],tblGroupTotals[Table_Rank_Code],0),MATCH("Total_Group_Rank_Value",tblGroupTotals[#Headers],0))</f>
        <v>144111113</v>
      </c>
      <c r="Q54" s="27" t="str">
        <f ca="1">LEFT(tblGroupE[[#This Row],[Total_Group_Rank_Value]],1)</f>
        <v>1</v>
      </c>
      <c r="R54" s="27" t="str">
        <f ca="1">LEFT(tblGroupE[[#This Row],[Total_Group_Rank_Value]],3)</f>
        <v>144</v>
      </c>
      <c r="S54" s="27" t="str">
        <f ca="1">LEFT(tblGroupE[[#This Row],[Total_Group_Rank_Value]],5)</f>
        <v>14411</v>
      </c>
      <c r="T54" s="27" t="str">
        <f ca="1">LEFT(tblGroupE[[#This Row],[Total_Group_Rank_Value]],6)</f>
        <v>144111</v>
      </c>
      <c r="U54" s="27" t="str">
        <f ca="1">LEFT(tblGroupE[[#This Row],[Total_Group_Rank_Value]],7)</f>
        <v>1441111</v>
      </c>
      <c r="V54" s="27" t="str">
        <f ca="1">LEFT(tblGroupE[[#This Row],[Total_Group_Rank_Value]],8)</f>
        <v>14411111</v>
      </c>
      <c r="W54" s="27" t="b">
        <f ca="1">COUNTIF(tblGroupE[Group_Point_Rank_Value],tblGroupE[[#This Row],[Group_Point_Rank_Value]])&gt;1</f>
        <v>1</v>
      </c>
      <c r="X54" s="27" t="b">
        <f ca="1">COUNTIF(tblGroupE[Head_To_Head_Rank_Value],tblGroupE[[#This Row],[Head_To_Head_Rank_Value]])&gt;1</f>
        <v>1</v>
      </c>
      <c r="Y54" s="27" t="b">
        <f ca="1">COUNTIF(tblGroupE[Group_Goals_Rank_Value],tblGroupE[[#This Row],[Group_Goals_Rank_Value]])&gt;1</f>
        <v>1</v>
      </c>
      <c r="Z54" s="27" t="b">
        <f ca="1">COUNTIF(tblGroupE[Wins_Rank_Value],tblGroupE[[#This Row],[Wins_Rank_Value]])&gt;1</f>
        <v>1</v>
      </c>
      <c r="AA54" s="27" t="b">
        <f ca="1">COUNTIF(tblGroupE[Penalty_Rank_Value],tblGroupE[[#This Row],[Penalty_Rank_Value]])&gt;1</f>
        <v>1</v>
      </c>
      <c r="AB54" s="27" t="b">
        <f ca="1">COUNTIF(tblGroupE[Diciplinary_Rank_Value],tblGroupE[[#This Row],[Diciplinary_Rank_Value]])&gt;1</f>
        <v>1</v>
      </c>
      <c r="AC54" s="27" t="b">
        <f ca="1">COUNTIF(tblGroupE[Total_Group_Rank_Value],tblGroupE[[#This Row],[Total_Group_Rank_Value]])&gt;1</f>
        <v>0</v>
      </c>
      <c r="AD54" s="27" t="str">
        <f ca="1">IF(tblGroupE[[#This Row],[Points_Match]],IF(tblGroupE[[#This Row],[H2H_Match]],IF(tblGroupE[[#This Row],[Goals_Match]],IF(tblGroupE[[#This Row],[Wins_Match]],IF(tblGroupE[[#This Row],[Penalty_Match]],IF(tblGroupE[[#This Row],[Disciplinary_Match]],"Euro Qualifier Rank","Disciplinary Points ("&amp;tblGroupE[[#This Row],[Total_Diciplinary_Points]]&amp;")"),"Penalties"),"Wins ("&amp;tblGroupE[[#This Row],[Table_Won]]&amp;")"),""),"Head 2 Head ("&amp;tblGroupE[[#This Row],[Table_Head_to_Head_Rank]]&amp;")"),"")</f>
        <v>Euro Qualifier Rank</v>
      </c>
      <c r="AE54" s="27" t="b">
        <f ca="1">AND(tblGroupE[[#This Row],[Table_Position]]=3,COUNTIFS(tblGroupThirdPlace[Team_Number],tblGroupE[[#This Row],[Team_Number]],tblGroupThirdPlace[Table_Position],"&lt;5")&gt;0)</f>
        <v>0</v>
      </c>
      <c r="AH54" s="28" t="s">
        <v>373</v>
      </c>
      <c r="AI54" s="28" t="str">
        <f>TEXT(INDEX(tblGroupMatch[],MATCH(tblMatchesE[[#This Row],[Match_Code]],tblGroupMatch[Match_Code],0),MATCH("Date &amp; Time",tblGroupMatch[#Headers],0)),"ddd dd mmm hh:mm")&amp;" ("&amp;INDEX(tblGroupMatch[],MATCH(tblMatchesE[[#This Row],[Match_Code]],tblGroupMatch[Match_Code],0),MATCH("TV_Station",tblGroupMatch[#Headers],0))&amp;")"</f>
        <v>Fri 18 Jun 14:00 (BBC)</v>
      </c>
      <c r="AJ54" s="28" t="str">
        <f>INDEX(tblGroupMatch[],MATCH(tblMatchesE[[#This Row],[Match_Code]],tblGroupMatch[Match_Code],0),MATCH("Team A Name",tblGroupMatch[#Headers],0))</f>
        <v>Sweden</v>
      </c>
      <c r="AK54" s="28" t="str">
        <f>INDEX(tblGroupMatch[],MATCH(tblMatchesE[[#This Row],[Match_Code]],tblGroupMatch[Match_Code],0),MATCH("Team A Goals",tblGroupMatch[#Headers],0))&amp;IF(AND(tblMatchesE[[#This Row],[Team A Penalties]]&gt;0,tblMatchesE[[#This Row],[Team B Penalties]]&gt;0)," (Pen "&amp;tblMatchesE[[#This Row],[Team A Penalties]]&amp;")","")</f>
        <v/>
      </c>
      <c r="AL54" s="28">
        <f>INDEX(tblGroupMatch[],MATCH(tblMatchesE[[#This Row],[Match_Code]],tblGroupMatch[Match_Code],0),MATCH("Team A Penalties",tblGroupMatch[#Headers],0))</f>
        <v>0</v>
      </c>
      <c r="AM54" s="28">
        <f>INDEX(tblGroupMatch[],MATCH(tblMatchesE[[#This Row],[Match_Code]],tblGroupMatch[Match_Code],0),MATCH("Team B Penalties",tblGroupMatch[#Headers],0))</f>
        <v>0</v>
      </c>
      <c r="AN54" s="28" t="str">
        <f>IF(AND(tblMatchesE[[#This Row],[Team A Penalties]]&gt;0,tblMatchesE[[#This Row],[Team B Penalties]]&gt;0),"(Pen "&amp;tblMatchesE[[#This Row],[Team B Penalties]]&amp;") ","")&amp;INDEX(tblGroupMatch[],MATCH(tblMatchesE[[#This Row],[Match_Code]],tblGroupMatch[Match_Code],0),MATCH("Team B Goals",tblGroupMatch[#Headers],0))</f>
        <v/>
      </c>
      <c r="AO54" s="28" t="str">
        <f>INDEX(tblGroupMatch[],MATCH(tblMatchesE[[#This Row],[Match_Code]],tblGroupMatch[Match_Code],0),MATCH("Team B Name",tblGroupMatch[#Headers],0))</f>
        <v>Slovakia</v>
      </c>
      <c r="AP54" s="28" t="str">
        <f>INDEX(tblGroupMatch[],MATCH(tblMatchesE[[#This Row],[Match_Code]],tblGroupMatch[Match_Code],0),MATCH("Venue",tblGroupMatch[#Headers],0))</f>
        <v>Krestovsky Stadium (RUS)</v>
      </c>
      <c r="AQ54" s="28" t="str">
        <f t="shared" si="4"/>
        <v xml:space="preserve"> - </v>
      </c>
      <c r="AS54" s="45"/>
      <c r="AT54" s="45"/>
      <c r="AU54" s="45"/>
      <c r="AV54" s="45"/>
      <c r="AW54" s="45"/>
      <c r="AX54" s="45"/>
      <c r="AY54" s="45"/>
      <c r="AZ54" s="45"/>
      <c r="BA54" s="45"/>
      <c r="BB54" s="45"/>
      <c r="BC54" s="45"/>
      <c r="BD54" s="45"/>
      <c r="BE54" s="45"/>
      <c r="BF54" s="45"/>
      <c r="BG54" s="45"/>
      <c r="BH54" s="45"/>
      <c r="BI54" s="45"/>
      <c r="BJ54" s="45"/>
      <c r="BK54" s="45"/>
      <c r="BL54" s="45"/>
      <c r="BM54" s="45"/>
      <c r="BN54" s="45"/>
      <c r="BO54" s="45"/>
    </row>
    <row r="55" spans="2:67" x14ac:dyDescent="0.3">
      <c r="B55" s="27" t="s">
        <v>234</v>
      </c>
      <c r="C55" s="27">
        <f ca="1">INDEX(tblGroupTotals[],MATCH(tblGroupE[[#This Row],[Table_Rank_Code]],tblGroupTotals[Table_Rank_Code],0),MATCH("Team_Number",tblGroupTotals[#Headers],0))</f>
        <v>18</v>
      </c>
      <c r="D55" s="27">
        <v>4</v>
      </c>
      <c r="E55" s="27" t="str">
        <f ca="1">INDEX(lkupTeam[],MATCH(tblGroupE[[#This Row],[Team_Number]],lkupTeam[Team_Number],0),MATCH("Team",lkupTeam[#Headers],0))</f>
        <v>Slovakia</v>
      </c>
      <c r="F55" s="27">
        <f ca="1">INDEX(tblGroupTotals[],MATCH(tblGroupE[[#This Row],[Table_Rank_Code]],tblGroupTotals[Table_Rank_Code],0),MATCH("Total_Games",tblGroupTotals[#Headers],0))</f>
        <v>0</v>
      </c>
      <c r="G55" s="27">
        <f ca="1">INDEX(tblGroupTotals[],MATCH(tblGroupE[[#This Row],[Table_Rank_Code]],tblGroupTotals[Table_Rank_Code],0),MATCH("Total_Wins",tblGroupTotals[#Headers],0))</f>
        <v>0</v>
      </c>
      <c r="H55" s="27">
        <f ca="1">INDEX(tblGroupTotals[],MATCH(tblGroupE[[#This Row],[Table_Rank_Code]],tblGroupTotals[Table_Rank_Code],0),MATCH("Total_Draws",tblGroupTotals[#Headers],0))</f>
        <v>0</v>
      </c>
      <c r="I55" s="27">
        <f ca="1">INDEX(tblGroupTotals[],MATCH(tblGroupE[[#This Row],[Table_Rank_Code]],tblGroupTotals[Table_Rank_Code],0),MATCH("Total_Loses",tblGroupTotals[#Headers],0))</f>
        <v>0</v>
      </c>
      <c r="J55" s="27">
        <f ca="1">INDEX(tblGroupTotals[],MATCH(tblGroupE[[#This Row],[Table_Rank_Code]],tblGroupTotals[Table_Rank_Code],0),MATCH("Total_Goals_For",tblGroupTotals[#Headers],0))</f>
        <v>0</v>
      </c>
      <c r="K55" s="27">
        <f ca="1">INDEX(tblGroupTotals[],MATCH(tblGroupE[[#This Row],[Table_Rank_Code]],tblGroupTotals[Table_Rank_Code],0),MATCH("Total_Goals_Against",tblGroupTotals[#Headers],0))</f>
        <v>0</v>
      </c>
      <c r="L55" s="27">
        <f ca="1">INDEX(tblGroupTotals[],MATCH(tblGroupE[[#This Row],[Table_Rank_Code]],tblGroupTotals[Table_Rank_Code],0),MATCH("Goal_Difference",tblGroupTotals[#Headers],0))</f>
        <v>0</v>
      </c>
      <c r="M55" s="27">
        <f ca="1">INDEX(tblGroupTotals[],MATCH(tblGroupE[[#This Row],[Table_Rank_Code]],tblGroupTotals[Table_Rank_Code],0),MATCH("Total_Points",tblGroupTotals[#Headers],0))</f>
        <v>0</v>
      </c>
      <c r="N55" s="27" t="str">
        <f ca="1">IF(INDEX(tblGroupTotals[],MATCH(tblGroupE[[#This Row],[Table_Rank_Code]],tblGroupTotals[Table_Rank_Code],0),MATCH("Group_Points_TieBreak_Rank_1",tblGroupTotals[#Headers],0))&lt;&gt;4,INDEX(tblGroupTotals[],MATCH(tblGroupE[[#This Row],[Table_Rank_Code]],tblGroupTotals[Table_Rank_Code],0),MATCH("Group_Points_TieBreak_Rank_1",tblGroupTotals[#Headers],0)),"")</f>
        <v/>
      </c>
      <c r="O55" s="27">
        <f ca="1">INDEX(tblGroupTotals[],MATCH(tblGroupE[[#This Row],[Table_Rank_Code]],tblGroupTotals[Table_Rank_Code],0),MATCH("Total_Diciplinary_Points",tblGroupTotals[#Headers],0))</f>
        <v>0</v>
      </c>
      <c r="P55" s="27">
        <f ca="1">INDEX(tblGroupTotals[],MATCH(tblGroupE[[#This Row],[Table_Rank_Code]],tblGroupTotals[Table_Rank_Code],0),MATCH("Total_Group_Rank_Value",tblGroupTotals[#Headers],0))</f>
        <v>144111114</v>
      </c>
      <c r="Q55" s="27" t="str">
        <f ca="1">LEFT(tblGroupE[[#This Row],[Total_Group_Rank_Value]],1)</f>
        <v>1</v>
      </c>
      <c r="R55" s="27" t="str">
        <f ca="1">LEFT(tblGroupE[[#This Row],[Total_Group_Rank_Value]],3)</f>
        <v>144</v>
      </c>
      <c r="S55" s="27" t="str">
        <f ca="1">LEFT(tblGroupE[[#This Row],[Total_Group_Rank_Value]],5)</f>
        <v>14411</v>
      </c>
      <c r="T55" s="27" t="str">
        <f ca="1">LEFT(tblGroupE[[#This Row],[Total_Group_Rank_Value]],6)</f>
        <v>144111</v>
      </c>
      <c r="U55" s="27" t="str">
        <f ca="1">LEFT(tblGroupE[[#This Row],[Total_Group_Rank_Value]],7)</f>
        <v>1441111</v>
      </c>
      <c r="V55" s="27" t="str">
        <f ca="1">LEFT(tblGroupE[[#This Row],[Total_Group_Rank_Value]],8)</f>
        <v>14411111</v>
      </c>
      <c r="W55" s="27" t="b">
        <f ca="1">COUNTIF(tblGroupE[Group_Point_Rank_Value],tblGroupE[[#This Row],[Group_Point_Rank_Value]])&gt;1</f>
        <v>1</v>
      </c>
      <c r="X55" s="27" t="b">
        <f ca="1">COUNTIF(tblGroupE[Head_To_Head_Rank_Value],tblGroupE[[#This Row],[Head_To_Head_Rank_Value]])&gt;1</f>
        <v>1</v>
      </c>
      <c r="Y55" s="27" t="b">
        <f ca="1">COUNTIF(tblGroupE[Group_Goals_Rank_Value],tblGroupE[[#This Row],[Group_Goals_Rank_Value]])&gt;1</f>
        <v>1</v>
      </c>
      <c r="Z55" s="27" t="b">
        <f ca="1">COUNTIF(tblGroupE[Wins_Rank_Value],tblGroupE[[#This Row],[Wins_Rank_Value]])&gt;1</f>
        <v>1</v>
      </c>
      <c r="AA55" s="27" t="b">
        <f ca="1">COUNTIF(tblGroupE[Penalty_Rank_Value],tblGroupE[[#This Row],[Penalty_Rank_Value]])&gt;1</f>
        <v>1</v>
      </c>
      <c r="AB55" s="27" t="b">
        <f ca="1">COUNTIF(tblGroupE[Diciplinary_Rank_Value],tblGroupE[[#This Row],[Diciplinary_Rank_Value]])&gt;1</f>
        <v>1</v>
      </c>
      <c r="AC55" s="27" t="b">
        <f ca="1">COUNTIF(tblGroupE[Total_Group_Rank_Value],tblGroupE[[#This Row],[Total_Group_Rank_Value]])&gt;1</f>
        <v>0</v>
      </c>
      <c r="AD55" s="27" t="str">
        <f ca="1">IF(tblGroupE[[#This Row],[Points_Match]],IF(tblGroupE[[#This Row],[H2H_Match]],IF(tblGroupE[[#This Row],[Goals_Match]],IF(tblGroupE[[#This Row],[Wins_Match]],IF(tblGroupE[[#This Row],[Penalty_Match]],IF(tblGroupE[[#This Row],[Disciplinary_Match]],"Euro Qualifier Rank","Disciplinary Points ("&amp;tblGroupE[[#This Row],[Total_Diciplinary_Points]]&amp;")"),"Penalties"),"Wins ("&amp;tblGroupE[[#This Row],[Table_Won]]&amp;")"),""),"Head 2 Head ("&amp;tblGroupE[[#This Row],[Table_Head_to_Head_Rank]]&amp;")"),"")</f>
        <v>Euro Qualifier Rank</v>
      </c>
      <c r="AE55" s="27" t="b">
        <f ca="1">AND(tblGroupE[[#This Row],[Table_Position]]=3,COUNTIFS(tblGroupThirdPlace[Team_Number],tblGroupE[[#This Row],[Team_Number]],tblGroupThirdPlace[Table_Position],"&lt;5")&gt;0)</f>
        <v>0</v>
      </c>
      <c r="AH55" s="28" t="s">
        <v>374</v>
      </c>
      <c r="AI55" s="28" t="str">
        <f>TEXT(INDEX(tblGroupMatch[],MATCH(tblMatchesE[[#This Row],[Match_Code]],tblGroupMatch[Match_Code],0),MATCH("Date &amp; Time",tblGroupMatch[#Headers],0)),"ddd dd mmm hh:mm")&amp;" ("&amp;INDEX(tblGroupMatch[],MATCH(tblMatchesE[[#This Row],[Match_Code]],tblGroupMatch[Match_Code],0),MATCH("TV_Station",tblGroupMatch[#Headers],0))&amp;")"</f>
        <v>Sat 19 Jun 20:00 (BBC)</v>
      </c>
      <c r="AJ55" s="28" t="str">
        <f>INDEX(tblGroupMatch[],MATCH(tblMatchesE[[#This Row],[Match_Code]],tblGroupMatch[Match_Code],0),MATCH("Team A Name",tblGroupMatch[#Headers],0))</f>
        <v>Spain</v>
      </c>
      <c r="AK55" s="28" t="str">
        <f>INDEX(tblGroupMatch[],MATCH(tblMatchesE[[#This Row],[Match_Code]],tblGroupMatch[Match_Code],0),MATCH("Team A Goals",tblGroupMatch[#Headers],0))&amp;IF(AND(tblMatchesE[[#This Row],[Team A Penalties]]&gt;0,tblMatchesE[[#This Row],[Team B Penalties]]&gt;0)," (Pen "&amp;tblMatchesE[[#This Row],[Team A Penalties]]&amp;")","")</f>
        <v/>
      </c>
      <c r="AL55" s="28">
        <f>INDEX(tblGroupMatch[],MATCH(tblMatchesE[[#This Row],[Match_Code]],tblGroupMatch[Match_Code],0),MATCH("Team A Penalties",tblGroupMatch[#Headers],0))</f>
        <v>0</v>
      </c>
      <c r="AM55" s="28">
        <f>INDEX(tblGroupMatch[],MATCH(tblMatchesE[[#This Row],[Match_Code]],tblGroupMatch[Match_Code],0),MATCH("Team B Penalties",tblGroupMatch[#Headers],0))</f>
        <v>0</v>
      </c>
      <c r="AN55" s="28" t="str">
        <f>IF(AND(tblMatchesE[[#This Row],[Team A Penalties]]&gt;0,tblMatchesE[[#This Row],[Team B Penalties]]&gt;0),"(Pen "&amp;tblMatchesE[[#This Row],[Team B Penalties]]&amp;") ","")&amp;INDEX(tblGroupMatch[],MATCH(tblMatchesE[[#This Row],[Match_Code]],tblGroupMatch[Match_Code],0),MATCH("Team B Goals",tblGroupMatch[#Headers],0))</f>
        <v/>
      </c>
      <c r="AO55" s="28" t="str">
        <f>INDEX(tblGroupMatch[],MATCH(tblMatchesE[[#This Row],[Match_Code]],tblGroupMatch[Match_Code],0),MATCH("Team B Name",tblGroupMatch[#Headers],0))</f>
        <v>Poland</v>
      </c>
      <c r="AP55" s="28" t="str">
        <f>INDEX(tblGroupMatch[],MATCH(tblMatchesE[[#This Row],[Match_Code]],tblGroupMatch[Match_Code],0),MATCH("Venue",tblGroupMatch[#Headers],0))</f>
        <v>La Cartuja (SPA)</v>
      </c>
      <c r="AQ55" s="28" t="str">
        <f t="shared" si="4"/>
        <v xml:space="preserve"> - </v>
      </c>
      <c r="AS55" s="45"/>
      <c r="AT55" s="45"/>
      <c r="AU55" s="45"/>
      <c r="AV55" s="45"/>
      <c r="AW55" s="45"/>
      <c r="AX55" s="45"/>
      <c r="AY55" s="45"/>
      <c r="AZ55" s="45"/>
      <c r="BA55" s="45"/>
      <c r="BB55" s="45"/>
      <c r="BC55" s="45"/>
      <c r="BD55" s="45"/>
      <c r="BE55" s="45"/>
      <c r="BF55" s="45"/>
      <c r="BG55" s="45"/>
      <c r="BH55" s="45"/>
      <c r="BI55" s="45"/>
      <c r="BJ55" s="45"/>
      <c r="BK55" s="45"/>
      <c r="BL55" s="45"/>
      <c r="BM55" s="45"/>
      <c r="BN55" s="45"/>
      <c r="BO55" s="45"/>
    </row>
    <row r="56" spans="2:67" x14ac:dyDescent="0.3">
      <c r="AH56" s="28" t="s">
        <v>375</v>
      </c>
      <c r="AI56" s="28" t="str">
        <f>TEXT(INDEX(tblGroupMatch[],MATCH(tblMatchesE[[#This Row],[Match_Code]],tblGroupMatch[Match_Code],0),MATCH("Date &amp; Time",tblGroupMatch[#Headers],0)),"ddd dd mmm hh:mm")&amp;" ("&amp;INDEX(tblGroupMatch[],MATCH(tblMatchesE[[#This Row],[Match_Code]],tblGroupMatch[Match_Code],0),MATCH("TV_Station",tblGroupMatch[#Headers],0))&amp;")"</f>
        <v>Wed 23 Jun 17:00 (iTV)</v>
      </c>
      <c r="AJ56" s="28" t="str">
        <f>INDEX(tblGroupMatch[],MATCH(tblMatchesE[[#This Row],[Match_Code]],tblGroupMatch[Match_Code],0),MATCH("Team A Name",tblGroupMatch[#Headers],0))</f>
        <v>Slovakia</v>
      </c>
      <c r="AK56" s="28" t="str">
        <f>INDEX(tblGroupMatch[],MATCH(tblMatchesE[[#This Row],[Match_Code]],tblGroupMatch[Match_Code],0),MATCH("Team A Goals",tblGroupMatch[#Headers],0))&amp;IF(AND(tblMatchesE[[#This Row],[Team A Penalties]]&gt;0,tblMatchesE[[#This Row],[Team B Penalties]]&gt;0)," (Pen "&amp;tblMatchesE[[#This Row],[Team A Penalties]]&amp;")","")</f>
        <v/>
      </c>
      <c r="AL56" s="28">
        <f>INDEX(tblGroupMatch[],MATCH(tblMatchesE[[#This Row],[Match_Code]],tblGroupMatch[Match_Code],0),MATCH("Team A Penalties",tblGroupMatch[#Headers],0))</f>
        <v>0</v>
      </c>
      <c r="AM56" s="28">
        <f>INDEX(tblGroupMatch[],MATCH(tblMatchesE[[#This Row],[Match_Code]],tblGroupMatch[Match_Code],0),MATCH("Team B Penalties",tblGroupMatch[#Headers],0))</f>
        <v>0</v>
      </c>
      <c r="AN56" s="28" t="str">
        <f>IF(AND(tblMatchesE[[#This Row],[Team A Penalties]]&gt;0,tblMatchesE[[#This Row],[Team B Penalties]]&gt;0),"(Pen "&amp;tblMatchesE[[#This Row],[Team B Penalties]]&amp;") ","")&amp;INDEX(tblGroupMatch[],MATCH(tblMatchesE[[#This Row],[Match_Code]],tblGroupMatch[Match_Code],0),MATCH("Team B Goals",tblGroupMatch[#Headers],0))</f>
        <v/>
      </c>
      <c r="AO56" s="28" t="str">
        <f>INDEX(tblGroupMatch[],MATCH(tblMatchesE[[#This Row],[Match_Code]],tblGroupMatch[Match_Code],0),MATCH("Team B Name",tblGroupMatch[#Headers],0))</f>
        <v>Spain</v>
      </c>
      <c r="AP56" s="28" t="str">
        <f>INDEX(tblGroupMatch[],MATCH(tblMatchesE[[#This Row],[Match_Code]],tblGroupMatch[Match_Code],0),MATCH("Venue",tblGroupMatch[#Headers],0))</f>
        <v>La Cartuja (SPA)</v>
      </c>
      <c r="AQ56" s="28" t="str">
        <f t="shared" si="4"/>
        <v xml:space="preserve"> - </v>
      </c>
      <c r="AS56" s="45"/>
      <c r="AT56" s="45"/>
      <c r="AU56" s="45"/>
      <c r="AV56" s="45"/>
      <c r="AW56" s="45"/>
      <c r="AX56" s="45"/>
      <c r="AY56" s="45"/>
      <c r="AZ56" s="45"/>
      <c r="BA56" s="45"/>
      <c r="BB56" s="45"/>
      <c r="BC56" s="45"/>
      <c r="BD56" s="45"/>
      <c r="BE56" s="45"/>
      <c r="BF56" s="45"/>
      <c r="BG56" s="45"/>
      <c r="BH56" s="45"/>
      <c r="BI56" s="45"/>
      <c r="BJ56" s="45"/>
      <c r="BK56" s="45"/>
      <c r="BL56" s="45"/>
      <c r="BM56" s="45"/>
      <c r="BN56" s="45"/>
      <c r="BO56" s="45"/>
    </row>
    <row r="57" spans="2:67" x14ac:dyDescent="0.3">
      <c r="AH57" s="28" t="s">
        <v>376</v>
      </c>
      <c r="AI57" s="28" t="str">
        <f>TEXT(INDEX(tblGroupMatch[],MATCH(tblMatchesE[[#This Row],[Match_Code]],tblGroupMatch[Match_Code],0),MATCH("Date &amp; Time",tblGroupMatch[#Headers],0)),"ddd dd mmm hh:mm")&amp;" ("&amp;INDEX(tblGroupMatch[],MATCH(tblMatchesE[[#This Row],[Match_Code]],tblGroupMatch[Match_Code],0),MATCH("TV_Station",tblGroupMatch[#Headers],0))&amp;")"</f>
        <v>Wed 23 Jun 17:00 (iTV)</v>
      </c>
      <c r="AJ57" s="28" t="str">
        <f>INDEX(tblGroupMatch[],MATCH(tblMatchesE[[#This Row],[Match_Code]],tblGroupMatch[Match_Code],0),MATCH("Team A Name",tblGroupMatch[#Headers],0))</f>
        <v>Sweden</v>
      </c>
      <c r="AK57" s="28" t="str">
        <f>INDEX(tblGroupMatch[],MATCH(tblMatchesE[[#This Row],[Match_Code]],tblGroupMatch[Match_Code],0),MATCH("Team A Goals",tblGroupMatch[#Headers],0))&amp;IF(AND(tblMatchesE[[#This Row],[Team A Penalties]]&gt;0,tblMatchesE[[#This Row],[Team B Penalties]]&gt;0)," (Pen "&amp;tblMatchesE[[#This Row],[Team A Penalties]]&amp;")","")</f>
        <v/>
      </c>
      <c r="AL57" s="28">
        <f>INDEX(tblGroupMatch[],MATCH(tblMatchesE[[#This Row],[Match_Code]],tblGroupMatch[Match_Code],0),MATCH("Team A Penalties",tblGroupMatch[#Headers],0))</f>
        <v>0</v>
      </c>
      <c r="AM57" s="28">
        <f>INDEX(tblGroupMatch[],MATCH(tblMatchesE[[#This Row],[Match_Code]],tblGroupMatch[Match_Code],0),MATCH("Team B Penalties",tblGroupMatch[#Headers],0))</f>
        <v>0</v>
      </c>
      <c r="AN57" s="28" t="str">
        <f>IF(AND(tblMatchesE[[#This Row],[Team A Penalties]]&gt;0,tblMatchesE[[#This Row],[Team B Penalties]]&gt;0),"(Pen "&amp;tblMatchesE[[#This Row],[Team B Penalties]]&amp;") ","")&amp;INDEX(tblGroupMatch[],MATCH(tblMatchesE[[#This Row],[Match_Code]],tblGroupMatch[Match_Code],0),MATCH("Team B Goals",tblGroupMatch[#Headers],0))</f>
        <v/>
      </c>
      <c r="AO57" s="28" t="str">
        <f>INDEX(tblGroupMatch[],MATCH(tblMatchesE[[#This Row],[Match_Code]],tblGroupMatch[Match_Code],0),MATCH("Team B Name",tblGroupMatch[#Headers],0))</f>
        <v>Poland</v>
      </c>
      <c r="AP57" s="28" t="str">
        <f>INDEX(tblGroupMatch[],MATCH(tblMatchesE[[#This Row],[Match_Code]],tblGroupMatch[Match_Code],0),MATCH("Venue",tblGroupMatch[#Headers],0))</f>
        <v>Krestovsky Stadium (RUS)</v>
      </c>
      <c r="AQ57" s="28" t="str">
        <f t="shared" si="4"/>
        <v xml:space="preserve"> - </v>
      </c>
      <c r="AS57" s="45"/>
      <c r="AT57" s="45"/>
      <c r="AU57" s="45"/>
      <c r="AV57" s="45"/>
      <c r="AW57" s="45"/>
      <c r="AX57" s="45"/>
      <c r="AY57" s="45"/>
      <c r="AZ57" s="45"/>
      <c r="BA57" s="45"/>
      <c r="BB57" s="45"/>
      <c r="BC57" s="45"/>
      <c r="BD57" s="45"/>
      <c r="BE57" s="45"/>
      <c r="BF57" s="45"/>
      <c r="BG57" s="45"/>
      <c r="BH57" s="45"/>
      <c r="BI57" s="45"/>
      <c r="BJ57" s="45"/>
      <c r="BK57" s="45"/>
      <c r="BL57" s="45"/>
      <c r="BM57" s="45"/>
      <c r="BN57" s="45"/>
      <c r="BO57" s="45"/>
    </row>
    <row r="58" spans="2:67" s="45" customFormat="1" x14ac:dyDescent="0.3">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4"/>
      <c r="AE58" s="44"/>
      <c r="AH58" s="46"/>
      <c r="AI58" s="46"/>
      <c r="AJ58" s="46"/>
      <c r="AK58" s="46"/>
      <c r="AL58" s="46"/>
      <c r="AM58" s="46"/>
      <c r="AN58" s="46"/>
      <c r="AO58" s="46"/>
      <c r="AP58" s="46"/>
      <c r="AQ58" s="46"/>
    </row>
    <row r="59" spans="2:67" s="45" customFormat="1" x14ac:dyDescent="0.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4"/>
      <c r="AE59" s="44"/>
      <c r="AH59" s="46"/>
      <c r="AI59" s="46"/>
      <c r="AJ59" s="46"/>
      <c r="AK59" s="46"/>
      <c r="AL59" s="46"/>
      <c r="AM59" s="46"/>
      <c r="AN59" s="46"/>
      <c r="AO59" s="46"/>
      <c r="AP59" s="46"/>
      <c r="AQ59" s="46"/>
    </row>
    <row r="60" spans="2:67" s="45" customFormat="1" x14ac:dyDescent="0.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c r="AE60" s="44"/>
      <c r="AH60" s="46"/>
      <c r="AI60" s="46"/>
      <c r="AJ60" s="46"/>
      <c r="AK60" s="46"/>
      <c r="AL60" s="46"/>
      <c r="AM60" s="46"/>
      <c r="AN60" s="46"/>
      <c r="AO60" s="46"/>
      <c r="AP60" s="46"/>
      <c r="AQ60" s="46"/>
    </row>
    <row r="61" spans="2:67" x14ac:dyDescent="0.3">
      <c r="AS61" s="45"/>
      <c r="AT61" s="45"/>
      <c r="AU61" s="45"/>
      <c r="AV61" s="45"/>
      <c r="AW61" s="45"/>
      <c r="AX61" s="45"/>
      <c r="AY61" s="45"/>
      <c r="AZ61" s="45"/>
      <c r="BA61" s="45"/>
      <c r="BB61" s="45"/>
      <c r="BC61" s="45"/>
      <c r="BD61" s="45"/>
      <c r="BE61" s="45"/>
      <c r="BF61" s="45"/>
      <c r="BG61" s="45"/>
      <c r="BH61" s="45"/>
      <c r="BI61" s="45"/>
      <c r="BJ61" s="45"/>
      <c r="BK61" s="45"/>
      <c r="BL61" s="45"/>
      <c r="BM61" s="45"/>
      <c r="BN61" s="45"/>
      <c r="BO61" s="45"/>
    </row>
    <row r="62" spans="2:67" x14ac:dyDescent="0.3">
      <c r="B62" s="27" t="s">
        <v>308</v>
      </c>
      <c r="C62" s="27" t="s">
        <v>39</v>
      </c>
      <c r="D62" s="27" t="s">
        <v>318</v>
      </c>
      <c r="E62" s="27" t="s">
        <v>319</v>
      </c>
      <c r="F62" s="27" t="s">
        <v>320</v>
      </c>
      <c r="G62" s="27" t="s">
        <v>321</v>
      </c>
      <c r="H62" s="27" t="s">
        <v>322</v>
      </c>
      <c r="I62" s="27" t="s">
        <v>323</v>
      </c>
      <c r="J62" s="27" t="s">
        <v>324</v>
      </c>
      <c r="K62" s="27" t="s">
        <v>325</v>
      </c>
      <c r="L62" s="27" t="s">
        <v>326</v>
      </c>
      <c r="M62" s="27" t="s">
        <v>327</v>
      </c>
      <c r="N62" s="27" t="s">
        <v>328</v>
      </c>
      <c r="O62" s="27" t="s">
        <v>218</v>
      </c>
      <c r="P62" s="27" t="s">
        <v>306</v>
      </c>
      <c r="Q62" s="27" t="s">
        <v>358</v>
      </c>
      <c r="R62" s="27" t="s">
        <v>357</v>
      </c>
      <c r="S62" s="27" t="s">
        <v>359</v>
      </c>
      <c r="T62" s="27" t="s">
        <v>362</v>
      </c>
      <c r="U62" s="27" t="s">
        <v>361</v>
      </c>
      <c r="V62" s="27" t="s">
        <v>360</v>
      </c>
      <c r="W62" s="27" t="s">
        <v>363</v>
      </c>
      <c r="X62" s="27" t="s">
        <v>364</v>
      </c>
      <c r="Y62" s="27" t="s">
        <v>365</v>
      </c>
      <c r="Z62" s="27" t="s">
        <v>366</v>
      </c>
      <c r="AA62" s="27" t="s">
        <v>367</v>
      </c>
      <c r="AB62" s="27" t="s">
        <v>368</v>
      </c>
      <c r="AC62" s="27" t="s">
        <v>369</v>
      </c>
      <c r="AD62" s="27" t="s">
        <v>370</v>
      </c>
      <c r="AE62" s="27" t="s">
        <v>427</v>
      </c>
      <c r="AH62" s="28" t="s">
        <v>250</v>
      </c>
      <c r="AI62" s="28" t="s">
        <v>189</v>
      </c>
      <c r="AJ62" s="28" t="s">
        <v>178</v>
      </c>
      <c r="AK62" s="28" t="s">
        <v>179</v>
      </c>
      <c r="AL62" s="28" t="s">
        <v>182</v>
      </c>
      <c r="AM62" s="28" t="s">
        <v>187</v>
      </c>
      <c r="AN62" s="28" t="s">
        <v>184</v>
      </c>
      <c r="AO62" s="28" t="s">
        <v>183</v>
      </c>
      <c r="AP62" s="28" t="s">
        <v>177</v>
      </c>
      <c r="AQ62" s="28" t="s">
        <v>336</v>
      </c>
      <c r="AS62" s="45"/>
      <c r="AT62" s="45"/>
      <c r="AU62" s="45"/>
      <c r="AV62" s="45"/>
      <c r="AW62" s="45"/>
      <c r="AX62" s="45"/>
      <c r="AY62" s="45"/>
      <c r="AZ62" s="45"/>
      <c r="BA62" s="45"/>
      <c r="BB62" s="45"/>
      <c r="BC62" s="45"/>
      <c r="BD62" s="45"/>
      <c r="BE62" s="45"/>
      <c r="BF62" s="45"/>
      <c r="BG62" s="45"/>
      <c r="BH62" s="45"/>
      <c r="BI62" s="45"/>
      <c r="BJ62" s="45"/>
      <c r="BK62" s="45"/>
      <c r="BL62" s="45"/>
      <c r="BM62" s="45"/>
      <c r="BN62" s="45"/>
      <c r="BO62" s="45"/>
    </row>
    <row r="63" spans="2:67" x14ac:dyDescent="0.3">
      <c r="B63" s="27" t="s">
        <v>235</v>
      </c>
      <c r="C63" s="27">
        <f ca="1">INDEX(tblGroupTotals[],MATCH(tblGroupF[[#This Row],[Table_Rank_Code]],tblGroupTotals[Table_Rank_Code],0),MATCH("Team_Number",tblGroupTotals[#Headers],0))</f>
        <v>24</v>
      </c>
      <c r="D63" s="27">
        <v>1</v>
      </c>
      <c r="E63" s="27" t="str">
        <f ca="1">INDEX(lkupTeam[],MATCH(tblGroupF[[#This Row],[Team_Number]],lkupTeam[Team_Number],0),MATCH("Team",lkupTeam[#Headers],0))</f>
        <v>Germany</v>
      </c>
      <c r="F63" s="27">
        <f ca="1">INDEX(tblGroupTotals[],MATCH(tblGroupF[[#This Row],[Table_Rank_Code]],tblGroupTotals[Table_Rank_Code],0),MATCH("Total_Games",tblGroupTotals[#Headers],0))</f>
        <v>0</v>
      </c>
      <c r="G63" s="27">
        <f ca="1">INDEX(tblGroupTotals[],MATCH(tblGroupF[[#This Row],[Table_Rank_Code]],tblGroupTotals[Table_Rank_Code],0),MATCH("Total_Wins",tblGroupTotals[#Headers],0))</f>
        <v>0</v>
      </c>
      <c r="H63" s="27">
        <f ca="1">INDEX(tblGroupTotals[],MATCH(tblGroupF[[#This Row],[Table_Rank_Code]],tblGroupTotals[Table_Rank_Code],0),MATCH("Total_Draws",tblGroupTotals[#Headers],0))</f>
        <v>0</v>
      </c>
      <c r="I63" s="27">
        <f ca="1">INDEX(tblGroupTotals[],MATCH(tblGroupF[[#This Row],[Table_Rank_Code]],tblGroupTotals[Table_Rank_Code],0),MATCH("Total_Loses",tblGroupTotals[#Headers],0))</f>
        <v>0</v>
      </c>
      <c r="J63" s="27">
        <f ca="1">INDEX(tblGroupTotals[],MATCH(tblGroupF[[#This Row],[Table_Rank_Code]],tblGroupTotals[Table_Rank_Code],0),MATCH("Total_Goals_For",tblGroupTotals[#Headers],0))</f>
        <v>0</v>
      </c>
      <c r="K63" s="27">
        <f ca="1">INDEX(tblGroupTotals[],MATCH(tblGroupF[[#This Row],[Table_Rank_Code]],tblGroupTotals[Table_Rank_Code],0),MATCH("Total_Goals_Against",tblGroupTotals[#Headers],0))</f>
        <v>0</v>
      </c>
      <c r="L63" s="27">
        <f ca="1">INDEX(tblGroupTotals[],MATCH(tblGroupF[[#This Row],[Table_Rank_Code]],tblGroupTotals[Table_Rank_Code],0),MATCH("Goal_Difference",tblGroupTotals[#Headers],0))</f>
        <v>0</v>
      </c>
      <c r="M63" s="27">
        <f ca="1">INDEX(tblGroupTotals[],MATCH(tblGroupF[[#This Row],[Table_Rank_Code]],tblGroupTotals[Table_Rank_Code],0),MATCH("Total_Points",tblGroupTotals[#Headers],0))</f>
        <v>0</v>
      </c>
      <c r="N63" s="27" t="str">
        <f ca="1">IF(INDEX(tblGroupTotals[],MATCH(tblGroupF[[#This Row],[Table_Rank_Code]],tblGroupTotals[Table_Rank_Code],0),MATCH("Group_Points_TieBreak_Rank_1",tblGroupTotals[#Headers],0))&lt;&gt;4,INDEX(tblGroupTotals[],MATCH(tblGroupF[[#This Row],[Table_Rank_Code]],tblGroupTotals[Table_Rank_Code],0),MATCH("Group_Points_TieBreak_Rank_1",tblGroupTotals[#Headers],0)),"")</f>
        <v/>
      </c>
      <c r="O63" s="27">
        <f ca="1">INDEX(tblGroupTotals[],MATCH(tblGroupF[[#This Row],[Table_Rank_Code]],tblGroupTotals[Table_Rank_Code],0),MATCH("Total_Diciplinary_Points",tblGroupTotals[#Headers],0))</f>
        <v>0</v>
      </c>
      <c r="P63" s="27">
        <f ca="1">INDEX(tblGroupTotals[],MATCH(tblGroupF[[#This Row],[Table_Rank_Code]],tblGroupTotals[Table_Rank_Code],0),MATCH("Total_Group_Rank_Value",tblGroupTotals[#Headers],0))</f>
        <v>144111111</v>
      </c>
      <c r="Q63" s="27" t="str">
        <f ca="1">LEFT(tblGroupF[[#This Row],[Total_Group_Rank_Value]],1)</f>
        <v>1</v>
      </c>
      <c r="R63" s="27" t="str">
        <f ca="1">LEFT(tblGroupF[[#This Row],[Total_Group_Rank_Value]],3)</f>
        <v>144</v>
      </c>
      <c r="S63" s="27" t="str">
        <f ca="1">LEFT(tblGroupF[[#This Row],[Total_Group_Rank_Value]],5)</f>
        <v>14411</v>
      </c>
      <c r="T63" s="27" t="str">
        <f ca="1">LEFT(tblGroupF[[#This Row],[Total_Group_Rank_Value]],6)</f>
        <v>144111</v>
      </c>
      <c r="U63" s="27" t="str">
        <f ca="1">LEFT(tblGroupF[[#This Row],[Total_Group_Rank_Value]],7)</f>
        <v>1441111</v>
      </c>
      <c r="V63" s="27" t="str">
        <f ca="1">LEFT(tblGroupF[[#This Row],[Total_Group_Rank_Value]],8)</f>
        <v>14411111</v>
      </c>
      <c r="W63" s="27" t="b">
        <f ca="1">COUNTIF(tblGroupF[Group_Point_Rank_Value],tblGroupF[[#This Row],[Group_Point_Rank_Value]])&gt;1</f>
        <v>1</v>
      </c>
      <c r="X63" s="27" t="b">
        <f ca="1">COUNTIF(tblGroupF[Head_To_Head_Rank_Value],tblGroupF[[#This Row],[Head_To_Head_Rank_Value]])&gt;1</f>
        <v>1</v>
      </c>
      <c r="Y63" s="27" t="b">
        <f ca="1">COUNTIF(tblGroupF[Group_Goals_Rank_Value],tblGroupF[[#This Row],[Group_Goals_Rank_Value]])&gt;1</f>
        <v>1</v>
      </c>
      <c r="Z63" s="27" t="b">
        <f ca="1">COUNTIF(tblGroupF[Wins_Rank_Value],tblGroupF[[#This Row],[Wins_Rank_Value]])&gt;1</f>
        <v>1</v>
      </c>
      <c r="AA63" s="27" t="b">
        <f ca="1">COUNTIF(tblGroupF[Penalty_Rank_Value],tblGroupF[[#This Row],[Penalty_Rank_Value]])&gt;1</f>
        <v>1</v>
      </c>
      <c r="AB63" s="27" t="b">
        <f ca="1">COUNTIF(tblGroupF[Diciplinary_Rank_Value],tblGroupF[[#This Row],[Diciplinary_Rank_Value]])&gt;1</f>
        <v>1</v>
      </c>
      <c r="AC63" s="27" t="b">
        <f ca="1">COUNTIF(tblGroupF[Total_Group_Rank_Value],tblGroupF[[#This Row],[Total_Group_Rank_Value]])&gt;1</f>
        <v>0</v>
      </c>
      <c r="AD63" s="27" t="str">
        <f ca="1">IF(tblGroupF[[#This Row],[Points_Match]],IF(tblGroupF[[#This Row],[H2H_Match]],IF(tblGroupF[[#This Row],[Goals_Match]],IF(tblGroupF[[#This Row],[Wins_Match]],IF(tblGroupF[[#This Row],[Penalty_Match]],IF(tblGroupF[[#This Row],[Disciplinary_Match]],"Euro Qualifier Rank","Disciplinary Points ("&amp;tblGroupF[[#This Row],[Total_Diciplinary_Points]]&amp;")"),"Penalties"),"Wins ("&amp;tblGroupF[[#This Row],[Table_Won]]&amp;")"),""),"Head 2 Head ("&amp;tblGroupF[[#This Row],[Table_Head_to_Head_Rank]]&amp;")"),"")</f>
        <v>Euro Qualifier Rank</v>
      </c>
      <c r="AE63" s="27" t="b">
        <f ca="1">AND(tblGroupF[[#This Row],[Table_Position]]=3,COUNTIFS(tblGroupThirdPlace[Team_Number],tblGroupF[[#This Row],[Team_Number]],tblGroupThirdPlace[Table_Position],"&lt;5")&gt;0)</f>
        <v>0</v>
      </c>
      <c r="AH63" s="28" t="s">
        <v>377</v>
      </c>
      <c r="AI63" s="28" t="str">
        <f>TEXT(INDEX(tblGroupMatch[],MATCH(tblMatchesF[[#This Row],[Match_Code]],tblGroupMatch[Match_Code],0),MATCH("Date &amp; Time",tblGroupMatch[#Headers],0)),"ddd dd mmm hh:mm")&amp;" ("&amp;INDEX(tblGroupMatch[],MATCH(tblMatchesF[[#This Row],[Match_Code]],tblGroupMatch[Match_Code],0),MATCH("TV_Station",tblGroupMatch[#Headers],0))&amp;")"</f>
        <v>Tue 15 Jun 17:00 (iTV)</v>
      </c>
      <c r="AJ63" s="28" t="str">
        <f>INDEX(tblGroupMatch[],MATCH(tblMatchesF[[#This Row],[Match_Code]],tblGroupMatch[Match_Code],0),MATCH("Team A Name",tblGroupMatch[#Headers],0))</f>
        <v>Hungary</v>
      </c>
      <c r="AK63" s="28" t="str">
        <f>INDEX(tblGroupMatch[],MATCH(tblMatchesF[[#This Row],[Match_Code]],tblGroupMatch[Match_Code],0),MATCH("Team A Goals",tblGroupMatch[#Headers],0))&amp;IF(AND(tblMatchesF[[#This Row],[Team A Penalties]]&gt;0,tblMatchesF[[#This Row],[Team B Penalties]]&gt;0)," (Pen "&amp;tblMatchesF[[#This Row],[Team A Penalties]]&amp;")","")</f>
        <v/>
      </c>
      <c r="AL63" s="28">
        <f>INDEX(tblGroupMatch[],MATCH(tblMatchesF[[#This Row],[Match_Code]],tblGroupMatch[Match_Code],0),MATCH("Team A Penalties",tblGroupMatch[#Headers],0))</f>
        <v>0</v>
      </c>
      <c r="AM63" s="28">
        <f>INDEX(tblGroupMatch[],MATCH(tblMatchesF[[#This Row],[Match_Code]],tblGroupMatch[Match_Code],0),MATCH("Team B Penalties",tblGroupMatch[#Headers],0))</f>
        <v>0</v>
      </c>
      <c r="AN63" s="28" t="str">
        <f>IF(AND(tblMatchesF[[#This Row],[Team A Penalties]]&gt;0,tblMatchesF[[#This Row],[Team B Penalties]]&gt;0),"(Pen "&amp;tblMatchesF[[#This Row],[Team B Penalties]]&amp;") ","")&amp;INDEX(tblGroupMatch[],MATCH(tblMatchesF[[#This Row],[Match_Code]],tblGroupMatch[Match_Code],0),MATCH("Team B Goals",tblGroupMatch[#Headers],0))</f>
        <v/>
      </c>
      <c r="AO63" s="28" t="str">
        <f>INDEX(tblGroupMatch[],MATCH(tblMatchesF[[#This Row],[Match_Code]],tblGroupMatch[Match_Code],0),MATCH("Team B Name",tblGroupMatch[#Headers],0))</f>
        <v>Portugal</v>
      </c>
      <c r="AP63" s="28" t="str">
        <f>INDEX(tblGroupMatch[],MATCH(tblMatchesF[[#This Row],[Match_Code]],tblGroupMatch[Match_Code],0),MATCH("Venue",tblGroupMatch[#Headers],0))</f>
        <v>Puskas Arena (HUN)</v>
      </c>
      <c r="AQ63" s="28" t="str">
        <f>" - "</f>
        <v xml:space="preserve"> - </v>
      </c>
      <c r="AS63" s="45"/>
      <c r="AT63" s="45"/>
      <c r="AU63" s="45"/>
      <c r="AV63" s="45"/>
      <c r="AW63" s="45"/>
      <c r="AX63" s="45"/>
      <c r="AY63" s="45"/>
      <c r="AZ63" s="45"/>
      <c r="BA63" s="45"/>
      <c r="BB63" s="45"/>
      <c r="BC63" s="45"/>
      <c r="BD63" s="45"/>
      <c r="BE63" s="45"/>
      <c r="BF63" s="45"/>
      <c r="BG63" s="45"/>
      <c r="BH63" s="45"/>
      <c r="BI63" s="45"/>
      <c r="BJ63" s="45"/>
      <c r="BK63" s="45"/>
      <c r="BL63" s="45"/>
      <c r="BM63" s="45"/>
      <c r="BN63" s="45"/>
      <c r="BO63" s="45"/>
    </row>
    <row r="64" spans="2:67" x14ac:dyDescent="0.3">
      <c r="B64" s="27" t="s">
        <v>236</v>
      </c>
      <c r="C64" s="27">
        <f ca="1">INDEX(tblGroupTotals[],MATCH(tblGroupF[[#This Row],[Table_Rank_Code]],tblGroupTotals[Table_Rank_Code],0),MATCH("Team_Number",tblGroupTotals[#Headers],0))</f>
        <v>23</v>
      </c>
      <c r="D64" s="27">
        <v>2</v>
      </c>
      <c r="E64" s="27" t="str">
        <f ca="1">INDEX(lkupTeam[],MATCH(tblGroupF[[#This Row],[Team_Number]],lkupTeam[Team_Number],0),MATCH("Team",lkupTeam[#Headers],0))</f>
        <v>France</v>
      </c>
      <c r="F64" s="27">
        <f ca="1">INDEX(tblGroupTotals[],MATCH(tblGroupF[[#This Row],[Table_Rank_Code]],tblGroupTotals[Table_Rank_Code],0),MATCH("Total_Games",tblGroupTotals[#Headers],0))</f>
        <v>0</v>
      </c>
      <c r="G64" s="27">
        <f ca="1">INDEX(tblGroupTotals[],MATCH(tblGroupF[[#This Row],[Table_Rank_Code]],tblGroupTotals[Table_Rank_Code],0),MATCH("Total_Wins",tblGroupTotals[#Headers],0))</f>
        <v>0</v>
      </c>
      <c r="H64" s="27">
        <f ca="1">INDEX(tblGroupTotals[],MATCH(tblGroupF[[#This Row],[Table_Rank_Code]],tblGroupTotals[Table_Rank_Code],0),MATCH("Total_Draws",tblGroupTotals[#Headers],0))</f>
        <v>0</v>
      </c>
      <c r="I64" s="27">
        <f ca="1">INDEX(tblGroupTotals[],MATCH(tblGroupF[[#This Row],[Table_Rank_Code]],tblGroupTotals[Table_Rank_Code],0),MATCH("Total_Loses",tblGroupTotals[#Headers],0))</f>
        <v>0</v>
      </c>
      <c r="J64" s="27">
        <f ca="1">INDEX(tblGroupTotals[],MATCH(tblGroupF[[#This Row],[Table_Rank_Code]],tblGroupTotals[Table_Rank_Code],0),MATCH("Total_Goals_For",tblGroupTotals[#Headers],0))</f>
        <v>0</v>
      </c>
      <c r="K64" s="27">
        <f ca="1">INDEX(tblGroupTotals[],MATCH(tblGroupF[[#This Row],[Table_Rank_Code]],tblGroupTotals[Table_Rank_Code],0),MATCH("Total_Goals_Against",tblGroupTotals[#Headers],0))</f>
        <v>0</v>
      </c>
      <c r="L64" s="27">
        <f ca="1">INDEX(tblGroupTotals[],MATCH(tblGroupF[[#This Row],[Table_Rank_Code]],tblGroupTotals[Table_Rank_Code],0),MATCH("Goal_Difference",tblGroupTotals[#Headers],0))</f>
        <v>0</v>
      </c>
      <c r="M64" s="27">
        <f ca="1">INDEX(tblGroupTotals[],MATCH(tblGroupF[[#This Row],[Table_Rank_Code]],tblGroupTotals[Table_Rank_Code],0),MATCH("Total_Points",tblGroupTotals[#Headers],0))</f>
        <v>0</v>
      </c>
      <c r="N64" s="27" t="str">
        <f ca="1">IF(INDEX(tblGroupTotals[],MATCH(tblGroupF[[#This Row],[Table_Rank_Code]],tblGroupTotals[Table_Rank_Code],0),MATCH("Group_Points_TieBreak_Rank_1",tblGroupTotals[#Headers],0))&lt;&gt;4,INDEX(tblGroupTotals[],MATCH(tblGroupF[[#This Row],[Table_Rank_Code]],tblGroupTotals[Table_Rank_Code],0),MATCH("Group_Points_TieBreak_Rank_1",tblGroupTotals[#Headers],0)),"")</f>
        <v/>
      </c>
      <c r="O64" s="27">
        <f ca="1">INDEX(tblGroupTotals[],MATCH(tblGroupF[[#This Row],[Table_Rank_Code]],tblGroupTotals[Table_Rank_Code],0),MATCH("Total_Diciplinary_Points",tblGroupTotals[#Headers],0))</f>
        <v>0</v>
      </c>
      <c r="P64" s="27">
        <f ca="1">INDEX(tblGroupTotals[],MATCH(tblGroupF[[#This Row],[Table_Rank_Code]],tblGroupTotals[Table_Rank_Code],0),MATCH("Total_Group_Rank_Value",tblGroupTotals[#Headers],0))</f>
        <v>144111112</v>
      </c>
      <c r="Q64" s="27" t="str">
        <f ca="1">LEFT(tblGroupF[[#This Row],[Total_Group_Rank_Value]],1)</f>
        <v>1</v>
      </c>
      <c r="R64" s="27" t="str">
        <f ca="1">LEFT(tblGroupF[[#This Row],[Total_Group_Rank_Value]],3)</f>
        <v>144</v>
      </c>
      <c r="S64" s="27" t="str">
        <f ca="1">LEFT(tblGroupF[[#This Row],[Total_Group_Rank_Value]],5)</f>
        <v>14411</v>
      </c>
      <c r="T64" s="27" t="str">
        <f ca="1">LEFT(tblGroupF[[#This Row],[Total_Group_Rank_Value]],6)</f>
        <v>144111</v>
      </c>
      <c r="U64" s="27" t="str">
        <f ca="1">LEFT(tblGroupF[[#This Row],[Total_Group_Rank_Value]],7)</f>
        <v>1441111</v>
      </c>
      <c r="V64" s="27" t="str">
        <f ca="1">LEFT(tblGroupF[[#This Row],[Total_Group_Rank_Value]],8)</f>
        <v>14411111</v>
      </c>
      <c r="W64" s="27" t="b">
        <f ca="1">COUNTIF(tblGroupF[Group_Point_Rank_Value],tblGroupF[[#This Row],[Group_Point_Rank_Value]])&gt;1</f>
        <v>1</v>
      </c>
      <c r="X64" s="27" t="b">
        <f ca="1">COUNTIF(tblGroupF[Head_To_Head_Rank_Value],tblGroupF[[#This Row],[Head_To_Head_Rank_Value]])&gt;1</f>
        <v>1</v>
      </c>
      <c r="Y64" s="27" t="b">
        <f ca="1">COUNTIF(tblGroupF[Group_Goals_Rank_Value],tblGroupF[[#This Row],[Group_Goals_Rank_Value]])&gt;1</f>
        <v>1</v>
      </c>
      <c r="Z64" s="27" t="b">
        <f ca="1">COUNTIF(tblGroupF[Wins_Rank_Value],tblGroupF[[#This Row],[Wins_Rank_Value]])&gt;1</f>
        <v>1</v>
      </c>
      <c r="AA64" s="27" t="b">
        <f ca="1">COUNTIF(tblGroupF[Penalty_Rank_Value],tblGroupF[[#This Row],[Penalty_Rank_Value]])&gt;1</f>
        <v>1</v>
      </c>
      <c r="AB64" s="27" t="b">
        <f ca="1">COUNTIF(tblGroupF[Diciplinary_Rank_Value],tblGroupF[[#This Row],[Diciplinary_Rank_Value]])&gt;1</f>
        <v>1</v>
      </c>
      <c r="AC64" s="27" t="b">
        <f ca="1">COUNTIF(tblGroupF[Total_Group_Rank_Value],tblGroupF[[#This Row],[Total_Group_Rank_Value]])&gt;1</f>
        <v>0</v>
      </c>
      <c r="AD64" s="27" t="str">
        <f ca="1">IF(tblGroupF[[#This Row],[Points_Match]],IF(tblGroupF[[#This Row],[H2H_Match]],IF(tblGroupF[[#This Row],[Goals_Match]],IF(tblGroupF[[#This Row],[Wins_Match]],IF(tblGroupF[[#This Row],[Penalty_Match]],IF(tblGroupF[[#This Row],[Disciplinary_Match]],"Euro Qualifier Rank","Disciplinary Points ("&amp;tblGroupF[[#This Row],[Total_Diciplinary_Points]]&amp;")"),"Penalties"),"Wins ("&amp;tblGroupF[[#This Row],[Table_Won]]&amp;")"),""),"Head 2 Head ("&amp;tblGroupF[[#This Row],[Table_Head_to_Head_Rank]]&amp;")"),"")</f>
        <v>Euro Qualifier Rank</v>
      </c>
      <c r="AE64" s="27" t="b">
        <f ca="1">AND(tblGroupF[[#This Row],[Table_Position]]=3,COUNTIFS(tblGroupThirdPlace[Team_Number],tblGroupF[[#This Row],[Team_Number]],tblGroupThirdPlace[Table_Position],"&lt;5")&gt;0)</f>
        <v>0</v>
      </c>
      <c r="AH64" s="28" t="s">
        <v>378</v>
      </c>
      <c r="AI64" s="28" t="str">
        <f>TEXT(INDEX(tblGroupMatch[],MATCH(tblMatchesF[[#This Row],[Match_Code]],tblGroupMatch[Match_Code],0),MATCH("Date &amp; Time",tblGroupMatch[#Headers],0)),"ddd dd mmm hh:mm")&amp;" ("&amp;INDEX(tblGroupMatch[],MATCH(tblMatchesF[[#This Row],[Match_Code]],tblGroupMatch[Match_Code],0),MATCH("TV_Station",tblGroupMatch[#Headers],0))&amp;")"</f>
        <v>Tue 15 Jun 20:00 (iTV)</v>
      </c>
      <c r="AJ64" s="28" t="str">
        <f>INDEX(tblGroupMatch[],MATCH(tblMatchesF[[#This Row],[Match_Code]],tblGroupMatch[Match_Code],0),MATCH("Team A Name",tblGroupMatch[#Headers],0))</f>
        <v>France</v>
      </c>
      <c r="AK64" s="28" t="str">
        <f>INDEX(tblGroupMatch[],MATCH(tblMatchesF[[#This Row],[Match_Code]],tblGroupMatch[Match_Code],0),MATCH("Team A Goals",tblGroupMatch[#Headers],0))&amp;IF(AND(tblMatchesF[[#This Row],[Team A Penalties]]&gt;0,tblMatchesF[[#This Row],[Team B Penalties]]&gt;0)," (Pen "&amp;tblMatchesF[[#This Row],[Team A Penalties]]&amp;")","")</f>
        <v/>
      </c>
      <c r="AL64" s="28">
        <f>INDEX(tblGroupMatch[],MATCH(tblMatchesF[[#This Row],[Match_Code]],tblGroupMatch[Match_Code],0),MATCH("Team A Penalties",tblGroupMatch[#Headers],0))</f>
        <v>0</v>
      </c>
      <c r="AM64" s="28">
        <f>INDEX(tblGroupMatch[],MATCH(tblMatchesF[[#This Row],[Match_Code]],tblGroupMatch[Match_Code],0),MATCH("Team B Penalties",tblGroupMatch[#Headers],0))</f>
        <v>0</v>
      </c>
      <c r="AN64" s="28" t="str">
        <f>IF(AND(tblMatchesF[[#This Row],[Team A Penalties]]&gt;0,tblMatchesF[[#This Row],[Team B Penalties]]&gt;0),"(Pen "&amp;tblMatchesF[[#This Row],[Team B Penalties]]&amp;") ","")&amp;INDEX(tblGroupMatch[],MATCH(tblMatchesF[[#This Row],[Match_Code]],tblGroupMatch[Match_Code],0),MATCH("Team B Goals",tblGroupMatch[#Headers],0))</f>
        <v/>
      </c>
      <c r="AO64" s="28" t="str">
        <f>INDEX(tblGroupMatch[],MATCH(tblMatchesF[[#This Row],[Match_Code]],tblGroupMatch[Match_Code],0),MATCH("Team B Name",tblGroupMatch[#Headers],0))</f>
        <v>Germany</v>
      </c>
      <c r="AP64" s="28" t="str">
        <f>INDEX(tblGroupMatch[],MATCH(tblMatchesF[[#This Row],[Match_Code]],tblGroupMatch[Match_Code],0),MATCH("Venue",tblGroupMatch[#Headers],0))</f>
        <v>Allianz Arena (GER)</v>
      </c>
      <c r="AQ64" s="28" t="str">
        <f t="shared" ref="AQ64:AQ68" si="5">" - "</f>
        <v xml:space="preserve"> - </v>
      </c>
      <c r="AS64" s="45"/>
      <c r="AT64" s="45"/>
      <c r="AU64" s="45"/>
      <c r="AV64" s="45"/>
      <c r="AW64" s="45"/>
      <c r="AX64" s="45"/>
      <c r="AY64" s="45"/>
      <c r="AZ64" s="45"/>
      <c r="BA64" s="45"/>
      <c r="BB64" s="45"/>
      <c r="BC64" s="45"/>
      <c r="BD64" s="45"/>
      <c r="BE64" s="45"/>
      <c r="BF64" s="45"/>
      <c r="BG64" s="45"/>
      <c r="BH64" s="45"/>
      <c r="BI64" s="45"/>
      <c r="BJ64" s="45"/>
      <c r="BK64" s="45"/>
      <c r="BL64" s="45"/>
      <c r="BM64" s="45"/>
      <c r="BN64" s="45"/>
      <c r="BO64" s="45"/>
    </row>
    <row r="65" spans="2:67" x14ac:dyDescent="0.3">
      <c r="B65" s="27" t="s">
        <v>237</v>
      </c>
      <c r="C65" s="27">
        <f ca="1">INDEX(tblGroupTotals[],MATCH(tblGroupF[[#This Row],[Table_Rank_Code]],tblGroupTotals[Table_Rank_Code],0),MATCH("Team_Number",tblGroupTotals[#Headers],0))</f>
        <v>22</v>
      </c>
      <c r="D65" s="27">
        <v>3</v>
      </c>
      <c r="E65" s="27" t="str">
        <f ca="1">INDEX(lkupTeam[],MATCH(tblGroupF[[#This Row],[Team_Number]],lkupTeam[Team_Number],0),MATCH("Team",lkupTeam[#Headers],0))</f>
        <v>Portugal</v>
      </c>
      <c r="F65" s="27">
        <f ca="1">INDEX(tblGroupTotals[],MATCH(tblGroupF[[#This Row],[Table_Rank_Code]],tblGroupTotals[Table_Rank_Code],0),MATCH("Total_Games",tblGroupTotals[#Headers],0))</f>
        <v>0</v>
      </c>
      <c r="G65" s="27">
        <f ca="1">INDEX(tblGroupTotals[],MATCH(tblGroupF[[#This Row],[Table_Rank_Code]],tblGroupTotals[Table_Rank_Code],0),MATCH("Total_Wins",tblGroupTotals[#Headers],0))</f>
        <v>0</v>
      </c>
      <c r="H65" s="27">
        <f ca="1">INDEX(tblGroupTotals[],MATCH(tblGroupF[[#This Row],[Table_Rank_Code]],tblGroupTotals[Table_Rank_Code],0),MATCH("Total_Draws",tblGroupTotals[#Headers],0))</f>
        <v>0</v>
      </c>
      <c r="I65" s="27">
        <f ca="1">INDEX(tblGroupTotals[],MATCH(tblGroupF[[#This Row],[Table_Rank_Code]],tblGroupTotals[Table_Rank_Code],0),MATCH("Total_Loses",tblGroupTotals[#Headers],0))</f>
        <v>0</v>
      </c>
      <c r="J65" s="27">
        <f ca="1">INDEX(tblGroupTotals[],MATCH(tblGroupF[[#This Row],[Table_Rank_Code]],tblGroupTotals[Table_Rank_Code],0),MATCH("Total_Goals_For",tblGroupTotals[#Headers],0))</f>
        <v>0</v>
      </c>
      <c r="K65" s="27">
        <f ca="1">INDEX(tblGroupTotals[],MATCH(tblGroupF[[#This Row],[Table_Rank_Code]],tblGroupTotals[Table_Rank_Code],0),MATCH("Total_Goals_Against",tblGroupTotals[#Headers],0))</f>
        <v>0</v>
      </c>
      <c r="L65" s="27">
        <f ca="1">INDEX(tblGroupTotals[],MATCH(tblGroupF[[#This Row],[Table_Rank_Code]],tblGroupTotals[Table_Rank_Code],0),MATCH("Goal_Difference",tblGroupTotals[#Headers],0))</f>
        <v>0</v>
      </c>
      <c r="M65" s="27">
        <f ca="1">INDEX(tblGroupTotals[],MATCH(tblGroupF[[#This Row],[Table_Rank_Code]],tblGroupTotals[Table_Rank_Code],0),MATCH("Total_Points",tblGroupTotals[#Headers],0))</f>
        <v>0</v>
      </c>
      <c r="N65" s="27" t="str">
        <f ca="1">IF(INDEX(tblGroupTotals[],MATCH(tblGroupF[[#This Row],[Table_Rank_Code]],tblGroupTotals[Table_Rank_Code],0),MATCH("Group_Points_TieBreak_Rank_1",tblGroupTotals[#Headers],0))&lt;&gt;4,INDEX(tblGroupTotals[],MATCH(tblGroupF[[#This Row],[Table_Rank_Code]],tblGroupTotals[Table_Rank_Code],0),MATCH("Group_Points_TieBreak_Rank_1",tblGroupTotals[#Headers],0)),"")</f>
        <v/>
      </c>
      <c r="O65" s="27">
        <f ca="1">INDEX(tblGroupTotals[],MATCH(tblGroupF[[#This Row],[Table_Rank_Code]],tblGroupTotals[Table_Rank_Code],0),MATCH("Total_Diciplinary_Points",tblGroupTotals[#Headers],0))</f>
        <v>0</v>
      </c>
      <c r="P65" s="27">
        <f ca="1">INDEX(tblGroupTotals[],MATCH(tblGroupF[[#This Row],[Table_Rank_Code]],tblGroupTotals[Table_Rank_Code],0),MATCH("Total_Group_Rank_Value",tblGroupTotals[#Headers],0))</f>
        <v>144111113</v>
      </c>
      <c r="Q65" s="27" t="str">
        <f ca="1">LEFT(tblGroupF[[#This Row],[Total_Group_Rank_Value]],1)</f>
        <v>1</v>
      </c>
      <c r="R65" s="27" t="str">
        <f ca="1">LEFT(tblGroupF[[#This Row],[Total_Group_Rank_Value]],3)</f>
        <v>144</v>
      </c>
      <c r="S65" s="27" t="str">
        <f ca="1">LEFT(tblGroupF[[#This Row],[Total_Group_Rank_Value]],5)</f>
        <v>14411</v>
      </c>
      <c r="T65" s="27" t="str">
        <f ca="1">LEFT(tblGroupF[[#This Row],[Total_Group_Rank_Value]],6)</f>
        <v>144111</v>
      </c>
      <c r="U65" s="27" t="str">
        <f ca="1">LEFT(tblGroupF[[#This Row],[Total_Group_Rank_Value]],7)</f>
        <v>1441111</v>
      </c>
      <c r="V65" s="27" t="str">
        <f ca="1">LEFT(tblGroupF[[#This Row],[Total_Group_Rank_Value]],8)</f>
        <v>14411111</v>
      </c>
      <c r="W65" s="27" t="b">
        <f ca="1">COUNTIF(tblGroupF[Group_Point_Rank_Value],tblGroupF[[#This Row],[Group_Point_Rank_Value]])&gt;1</f>
        <v>1</v>
      </c>
      <c r="X65" s="27" t="b">
        <f ca="1">COUNTIF(tblGroupF[Head_To_Head_Rank_Value],tblGroupF[[#This Row],[Head_To_Head_Rank_Value]])&gt;1</f>
        <v>1</v>
      </c>
      <c r="Y65" s="27" t="b">
        <f ca="1">COUNTIF(tblGroupF[Group_Goals_Rank_Value],tblGroupF[[#This Row],[Group_Goals_Rank_Value]])&gt;1</f>
        <v>1</v>
      </c>
      <c r="Z65" s="27" t="b">
        <f ca="1">COUNTIF(tblGroupF[Wins_Rank_Value],tblGroupF[[#This Row],[Wins_Rank_Value]])&gt;1</f>
        <v>1</v>
      </c>
      <c r="AA65" s="27" t="b">
        <f ca="1">COUNTIF(tblGroupF[Penalty_Rank_Value],tblGroupF[[#This Row],[Penalty_Rank_Value]])&gt;1</f>
        <v>1</v>
      </c>
      <c r="AB65" s="27" t="b">
        <f ca="1">COUNTIF(tblGroupF[Diciplinary_Rank_Value],tblGroupF[[#This Row],[Diciplinary_Rank_Value]])&gt;1</f>
        <v>1</v>
      </c>
      <c r="AC65" s="27" t="b">
        <f ca="1">COUNTIF(tblGroupF[Total_Group_Rank_Value],tblGroupF[[#This Row],[Total_Group_Rank_Value]])&gt;1</f>
        <v>0</v>
      </c>
      <c r="AD65" s="27" t="str">
        <f ca="1">IF(tblGroupF[[#This Row],[Points_Match]],IF(tblGroupF[[#This Row],[H2H_Match]],IF(tblGroupF[[#This Row],[Goals_Match]],IF(tblGroupF[[#This Row],[Wins_Match]],IF(tblGroupF[[#This Row],[Penalty_Match]],IF(tblGroupF[[#This Row],[Disciplinary_Match]],"Euro Qualifier Rank","Disciplinary Points ("&amp;tblGroupF[[#This Row],[Total_Diciplinary_Points]]&amp;")"),"Penalties"),"Wins ("&amp;tblGroupF[[#This Row],[Table_Won]]&amp;")"),""),"Head 2 Head ("&amp;tblGroupF[[#This Row],[Table_Head_to_Head_Rank]]&amp;")"),"")</f>
        <v>Euro Qualifier Rank</v>
      </c>
      <c r="AE65" s="27" t="b">
        <f ca="1">AND(tblGroupF[[#This Row],[Table_Position]]=3,COUNTIFS(tblGroupThirdPlace[Team_Number],tblGroupF[[#This Row],[Team_Number]],tblGroupThirdPlace[Table_Position],"&lt;5")&gt;0)</f>
        <v>1</v>
      </c>
      <c r="AH65" s="28" t="s">
        <v>379</v>
      </c>
      <c r="AI65" s="28" t="str">
        <f>TEXT(INDEX(tblGroupMatch[],MATCH(tblMatchesF[[#This Row],[Match_Code]],tblGroupMatch[Match_Code],0),MATCH("Date &amp; Time",tblGroupMatch[#Headers],0)),"ddd dd mmm hh:mm")&amp;" ("&amp;INDEX(tblGroupMatch[],MATCH(tblMatchesF[[#This Row],[Match_Code]],tblGroupMatch[Match_Code],0),MATCH("TV_Station",tblGroupMatch[#Headers],0))&amp;")"</f>
        <v>Sat 19 Jun 14:00 (BBC)</v>
      </c>
      <c r="AJ65" s="28" t="str">
        <f>INDEX(tblGroupMatch[],MATCH(tblMatchesF[[#This Row],[Match_Code]],tblGroupMatch[Match_Code],0),MATCH("Team A Name",tblGroupMatch[#Headers],0))</f>
        <v>Hungary</v>
      </c>
      <c r="AK65" s="28" t="str">
        <f>INDEX(tblGroupMatch[],MATCH(tblMatchesF[[#This Row],[Match_Code]],tblGroupMatch[Match_Code],0),MATCH("Team A Goals",tblGroupMatch[#Headers],0))&amp;IF(AND(tblMatchesF[[#This Row],[Team A Penalties]]&gt;0,tblMatchesF[[#This Row],[Team B Penalties]]&gt;0)," (Pen "&amp;tblMatchesF[[#This Row],[Team A Penalties]]&amp;")","")</f>
        <v/>
      </c>
      <c r="AL65" s="28">
        <f>INDEX(tblGroupMatch[],MATCH(tblMatchesF[[#This Row],[Match_Code]],tblGroupMatch[Match_Code],0),MATCH("Team A Penalties",tblGroupMatch[#Headers],0))</f>
        <v>0</v>
      </c>
      <c r="AM65" s="28">
        <f>INDEX(tblGroupMatch[],MATCH(tblMatchesF[[#This Row],[Match_Code]],tblGroupMatch[Match_Code],0),MATCH("Team B Penalties",tblGroupMatch[#Headers],0))</f>
        <v>0</v>
      </c>
      <c r="AN65" s="28" t="str">
        <f>IF(AND(tblMatchesF[[#This Row],[Team A Penalties]]&gt;0,tblMatchesF[[#This Row],[Team B Penalties]]&gt;0),"(Pen "&amp;tblMatchesF[[#This Row],[Team B Penalties]]&amp;") ","")&amp;INDEX(tblGroupMatch[],MATCH(tblMatchesF[[#This Row],[Match_Code]],tblGroupMatch[Match_Code],0),MATCH("Team B Goals",tblGroupMatch[#Headers],0))</f>
        <v/>
      </c>
      <c r="AO65" s="28" t="str">
        <f>INDEX(tblGroupMatch[],MATCH(tblMatchesF[[#This Row],[Match_Code]],tblGroupMatch[Match_Code],0),MATCH("Team B Name",tblGroupMatch[#Headers],0))</f>
        <v>France</v>
      </c>
      <c r="AP65" s="28" t="str">
        <f>INDEX(tblGroupMatch[],MATCH(tblMatchesF[[#This Row],[Match_Code]],tblGroupMatch[Match_Code],0),MATCH("Venue",tblGroupMatch[#Headers],0))</f>
        <v>Puskas Arena (HUN)</v>
      </c>
      <c r="AQ65" s="28" t="str">
        <f t="shared" si="5"/>
        <v xml:space="preserve"> - </v>
      </c>
      <c r="AS65" s="45"/>
      <c r="AT65" s="45"/>
      <c r="AU65" s="45"/>
      <c r="AV65" s="45"/>
      <c r="AW65" s="45"/>
      <c r="AX65" s="45"/>
      <c r="AY65" s="45"/>
      <c r="AZ65" s="45"/>
      <c r="BA65" s="45"/>
      <c r="BB65" s="45"/>
      <c r="BC65" s="45"/>
      <c r="BD65" s="45"/>
      <c r="BE65" s="45"/>
      <c r="BF65" s="45"/>
      <c r="BG65" s="45"/>
      <c r="BH65" s="45"/>
      <c r="BI65" s="45"/>
      <c r="BJ65" s="45"/>
      <c r="BK65" s="45"/>
      <c r="BL65" s="45"/>
      <c r="BM65" s="45"/>
      <c r="BN65" s="45"/>
      <c r="BO65" s="45"/>
    </row>
    <row r="66" spans="2:67" x14ac:dyDescent="0.3">
      <c r="B66" s="27" t="s">
        <v>238</v>
      </c>
      <c r="C66" s="27">
        <f ca="1">INDEX(tblGroupTotals[],MATCH(tblGroupF[[#This Row],[Table_Rank_Code]],tblGroupTotals[Table_Rank_Code],0),MATCH("Team_Number",tblGroupTotals[#Headers],0))</f>
        <v>21</v>
      </c>
      <c r="D66" s="27">
        <v>4</v>
      </c>
      <c r="E66" s="27" t="str">
        <f ca="1">INDEX(lkupTeam[],MATCH(tblGroupF[[#This Row],[Team_Number]],lkupTeam[Team_Number],0),MATCH("Team",lkupTeam[#Headers],0))</f>
        <v>Hungary</v>
      </c>
      <c r="F66" s="27">
        <f ca="1">INDEX(tblGroupTotals[],MATCH(tblGroupF[[#This Row],[Table_Rank_Code]],tblGroupTotals[Table_Rank_Code],0),MATCH("Total_Games",tblGroupTotals[#Headers],0))</f>
        <v>0</v>
      </c>
      <c r="G66" s="27">
        <f ca="1">INDEX(tblGroupTotals[],MATCH(tblGroupF[[#This Row],[Table_Rank_Code]],tblGroupTotals[Table_Rank_Code],0),MATCH("Total_Wins",tblGroupTotals[#Headers],0))</f>
        <v>0</v>
      </c>
      <c r="H66" s="27">
        <f ca="1">INDEX(tblGroupTotals[],MATCH(tblGroupF[[#This Row],[Table_Rank_Code]],tblGroupTotals[Table_Rank_Code],0),MATCH("Total_Draws",tblGroupTotals[#Headers],0))</f>
        <v>0</v>
      </c>
      <c r="I66" s="27">
        <f ca="1">INDEX(tblGroupTotals[],MATCH(tblGroupF[[#This Row],[Table_Rank_Code]],tblGroupTotals[Table_Rank_Code],0),MATCH("Total_Loses",tblGroupTotals[#Headers],0))</f>
        <v>0</v>
      </c>
      <c r="J66" s="27">
        <f ca="1">INDEX(tblGroupTotals[],MATCH(tblGroupF[[#This Row],[Table_Rank_Code]],tblGroupTotals[Table_Rank_Code],0),MATCH("Total_Goals_For",tblGroupTotals[#Headers],0))</f>
        <v>0</v>
      </c>
      <c r="K66" s="27">
        <f ca="1">INDEX(tblGroupTotals[],MATCH(tblGroupF[[#This Row],[Table_Rank_Code]],tblGroupTotals[Table_Rank_Code],0),MATCH("Total_Goals_Against",tblGroupTotals[#Headers],0))</f>
        <v>0</v>
      </c>
      <c r="L66" s="27">
        <f ca="1">INDEX(tblGroupTotals[],MATCH(tblGroupF[[#This Row],[Table_Rank_Code]],tblGroupTotals[Table_Rank_Code],0),MATCH("Goal_Difference",tblGroupTotals[#Headers],0))</f>
        <v>0</v>
      </c>
      <c r="M66" s="27">
        <f ca="1">INDEX(tblGroupTotals[],MATCH(tblGroupF[[#This Row],[Table_Rank_Code]],tblGroupTotals[Table_Rank_Code],0),MATCH("Total_Points",tblGroupTotals[#Headers],0))</f>
        <v>0</v>
      </c>
      <c r="N66" s="27" t="str">
        <f ca="1">IF(INDEX(tblGroupTotals[],MATCH(tblGroupF[[#This Row],[Table_Rank_Code]],tblGroupTotals[Table_Rank_Code],0),MATCH("Group_Points_TieBreak_Rank_1",tblGroupTotals[#Headers],0))&lt;&gt;4,INDEX(tblGroupTotals[],MATCH(tblGroupF[[#This Row],[Table_Rank_Code]],tblGroupTotals[Table_Rank_Code],0),MATCH("Group_Points_TieBreak_Rank_1",tblGroupTotals[#Headers],0)),"")</f>
        <v/>
      </c>
      <c r="O66" s="27">
        <f ca="1">INDEX(tblGroupTotals[],MATCH(tblGroupF[[#This Row],[Table_Rank_Code]],tblGroupTotals[Table_Rank_Code],0),MATCH("Total_Diciplinary_Points",tblGroupTotals[#Headers],0))</f>
        <v>0</v>
      </c>
      <c r="P66" s="27">
        <f ca="1">INDEX(tblGroupTotals[],MATCH(tblGroupF[[#This Row],[Table_Rank_Code]],tblGroupTotals[Table_Rank_Code],0),MATCH("Total_Group_Rank_Value",tblGroupTotals[#Headers],0))</f>
        <v>144111114</v>
      </c>
      <c r="Q66" s="27" t="str">
        <f ca="1">LEFT(tblGroupF[[#This Row],[Total_Group_Rank_Value]],1)</f>
        <v>1</v>
      </c>
      <c r="R66" s="27" t="str">
        <f ca="1">LEFT(tblGroupF[[#This Row],[Total_Group_Rank_Value]],3)</f>
        <v>144</v>
      </c>
      <c r="S66" s="27" t="str">
        <f ca="1">LEFT(tblGroupF[[#This Row],[Total_Group_Rank_Value]],5)</f>
        <v>14411</v>
      </c>
      <c r="T66" s="27" t="str">
        <f ca="1">LEFT(tblGroupF[[#This Row],[Total_Group_Rank_Value]],6)</f>
        <v>144111</v>
      </c>
      <c r="U66" s="27" t="str">
        <f ca="1">LEFT(tblGroupF[[#This Row],[Total_Group_Rank_Value]],7)</f>
        <v>1441111</v>
      </c>
      <c r="V66" s="27" t="str">
        <f ca="1">LEFT(tblGroupF[[#This Row],[Total_Group_Rank_Value]],8)</f>
        <v>14411111</v>
      </c>
      <c r="W66" s="27" t="b">
        <f ca="1">COUNTIF(tblGroupF[Group_Point_Rank_Value],tblGroupF[[#This Row],[Group_Point_Rank_Value]])&gt;1</f>
        <v>1</v>
      </c>
      <c r="X66" s="27" t="b">
        <f ca="1">COUNTIF(tblGroupF[Head_To_Head_Rank_Value],tblGroupF[[#This Row],[Head_To_Head_Rank_Value]])&gt;1</f>
        <v>1</v>
      </c>
      <c r="Y66" s="27" t="b">
        <f ca="1">COUNTIF(tblGroupF[Group_Goals_Rank_Value],tblGroupF[[#This Row],[Group_Goals_Rank_Value]])&gt;1</f>
        <v>1</v>
      </c>
      <c r="Z66" s="27" t="b">
        <f ca="1">COUNTIF(tblGroupF[Wins_Rank_Value],tblGroupF[[#This Row],[Wins_Rank_Value]])&gt;1</f>
        <v>1</v>
      </c>
      <c r="AA66" s="27" t="b">
        <f ca="1">COUNTIF(tblGroupF[Penalty_Rank_Value],tblGroupF[[#This Row],[Penalty_Rank_Value]])&gt;1</f>
        <v>1</v>
      </c>
      <c r="AB66" s="27" t="b">
        <f ca="1">COUNTIF(tblGroupF[Diciplinary_Rank_Value],tblGroupF[[#This Row],[Diciplinary_Rank_Value]])&gt;1</f>
        <v>1</v>
      </c>
      <c r="AC66" s="27" t="b">
        <f ca="1">COUNTIF(tblGroupF[Total_Group_Rank_Value],tblGroupF[[#This Row],[Total_Group_Rank_Value]])&gt;1</f>
        <v>0</v>
      </c>
      <c r="AD66" s="27" t="str">
        <f ca="1">IF(tblGroupF[[#This Row],[Points_Match]],IF(tblGroupF[[#This Row],[H2H_Match]],IF(tblGroupF[[#This Row],[Goals_Match]],IF(tblGroupF[[#This Row],[Wins_Match]],IF(tblGroupF[[#This Row],[Penalty_Match]],IF(tblGroupF[[#This Row],[Disciplinary_Match]],"Euro Qualifier Rank","Disciplinary Points ("&amp;tblGroupF[[#This Row],[Total_Diciplinary_Points]]&amp;")"),"Penalties"),"Wins ("&amp;tblGroupF[[#This Row],[Table_Won]]&amp;")"),""),"Head 2 Head ("&amp;tblGroupF[[#This Row],[Table_Head_to_Head_Rank]]&amp;")"),"")</f>
        <v>Euro Qualifier Rank</v>
      </c>
      <c r="AE66" s="27" t="b">
        <f ca="1">AND(tblGroupF[[#This Row],[Table_Position]]=3,COUNTIFS(tblGroupThirdPlace[Team_Number],tblGroupF[[#This Row],[Team_Number]],tblGroupThirdPlace[Table_Position],"&lt;5")&gt;0)</f>
        <v>0</v>
      </c>
      <c r="AH66" s="28" t="s">
        <v>380</v>
      </c>
      <c r="AI66" s="28" t="str">
        <f>TEXT(INDEX(tblGroupMatch[],MATCH(tblMatchesF[[#This Row],[Match_Code]],tblGroupMatch[Match_Code],0),MATCH("Date &amp; Time",tblGroupMatch[#Headers],0)),"ddd dd mmm hh:mm")&amp;" ("&amp;INDEX(tblGroupMatch[],MATCH(tblMatchesF[[#This Row],[Match_Code]],tblGroupMatch[Match_Code],0),MATCH("TV_Station",tblGroupMatch[#Headers],0))&amp;")"</f>
        <v>Sat 19 Jun 17:00 (iTV)</v>
      </c>
      <c r="AJ66" s="28" t="str">
        <f>INDEX(tblGroupMatch[],MATCH(tblMatchesF[[#This Row],[Match_Code]],tblGroupMatch[Match_Code],0),MATCH("Team A Name",tblGroupMatch[#Headers],0))</f>
        <v>Portugal</v>
      </c>
      <c r="AK66" s="28" t="str">
        <f>INDEX(tblGroupMatch[],MATCH(tblMatchesF[[#This Row],[Match_Code]],tblGroupMatch[Match_Code],0),MATCH("Team A Goals",tblGroupMatch[#Headers],0))&amp;IF(AND(tblMatchesF[[#This Row],[Team A Penalties]]&gt;0,tblMatchesF[[#This Row],[Team B Penalties]]&gt;0)," (Pen "&amp;tblMatchesF[[#This Row],[Team A Penalties]]&amp;")","")</f>
        <v/>
      </c>
      <c r="AL66" s="28">
        <f>INDEX(tblGroupMatch[],MATCH(tblMatchesF[[#This Row],[Match_Code]],tblGroupMatch[Match_Code],0),MATCH("Team A Penalties",tblGroupMatch[#Headers],0))</f>
        <v>0</v>
      </c>
      <c r="AM66" s="28">
        <f>INDEX(tblGroupMatch[],MATCH(tblMatchesF[[#This Row],[Match_Code]],tblGroupMatch[Match_Code],0),MATCH("Team B Penalties",tblGroupMatch[#Headers],0))</f>
        <v>0</v>
      </c>
      <c r="AN66" s="28" t="str">
        <f>IF(AND(tblMatchesF[[#This Row],[Team A Penalties]]&gt;0,tblMatchesF[[#This Row],[Team B Penalties]]&gt;0),"(Pen "&amp;tblMatchesF[[#This Row],[Team B Penalties]]&amp;") ","")&amp;INDEX(tblGroupMatch[],MATCH(tblMatchesF[[#This Row],[Match_Code]],tblGroupMatch[Match_Code],0),MATCH("Team B Goals",tblGroupMatch[#Headers],0))</f>
        <v/>
      </c>
      <c r="AO66" s="28" t="str">
        <f>INDEX(tblGroupMatch[],MATCH(tblMatchesF[[#This Row],[Match_Code]],tblGroupMatch[Match_Code],0),MATCH("Team B Name",tblGroupMatch[#Headers],0))</f>
        <v>Germany</v>
      </c>
      <c r="AP66" s="28" t="str">
        <f>INDEX(tblGroupMatch[],MATCH(tblMatchesF[[#This Row],[Match_Code]],tblGroupMatch[Match_Code],0),MATCH("Venue",tblGroupMatch[#Headers],0))</f>
        <v>Allianz Arena (GER)</v>
      </c>
      <c r="AQ66" s="28" t="str">
        <f t="shared" si="5"/>
        <v xml:space="preserve"> - </v>
      </c>
      <c r="AS66" s="45"/>
      <c r="AT66" s="45"/>
      <c r="AU66" s="45"/>
      <c r="AV66" s="45"/>
      <c r="AW66" s="45"/>
      <c r="AX66" s="45"/>
      <c r="AY66" s="45"/>
      <c r="AZ66" s="45"/>
      <c r="BA66" s="45"/>
      <c r="BB66" s="45"/>
      <c r="BC66" s="45"/>
      <c r="BD66" s="45"/>
      <c r="BE66" s="45"/>
      <c r="BF66" s="45"/>
      <c r="BG66" s="45"/>
      <c r="BH66" s="45"/>
      <c r="BI66" s="45"/>
      <c r="BJ66" s="45"/>
      <c r="BK66" s="45"/>
      <c r="BL66" s="45"/>
      <c r="BM66" s="45"/>
      <c r="BN66" s="45"/>
      <c r="BO66" s="45"/>
    </row>
    <row r="67" spans="2:67" x14ac:dyDescent="0.3">
      <c r="AH67" s="28" t="s">
        <v>381</v>
      </c>
      <c r="AI67" s="28" t="str">
        <f>TEXT(INDEX(tblGroupMatch[],MATCH(tblMatchesF[[#This Row],[Match_Code]],tblGroupMatch[Match_Code],0),MATCH("Date &amp; Time",tblGroupMatch[#Headers],0)),"ddd dd mmm hh:mm")&amp;" ("&amp;INDEX(tblGroupMatch[],MATCH(tblMatchesF[[#This Row],[Match_Code]],tblGroupMatch[Match_Code],0),MATCH("TV_Station",tblGroupMatch[#Headers],0))&amp;")"</f>
        <v>Wed 23 Jun 20:00 (BBC)</v>
      </c>
      <c r="AJ67" s="28" t="str">
        <f>INDEX(tblGroupMatch[],MATCH(tblMatchesF[[#This Row],[Match_Code]],tblGroupMatch[Match_Code],0),MATCH("Team A Name",tblGroupMatch[#Headers],0))</f>
        <v>Portugal</v>
      </c>
      <c r="AK67" s="28" t="str">
        <f>INDEX(tblGroupMatch[],MATCH(tblMatchesF[[#This Row],[Match_Code]],tblGroupMatch[Match_Code],0),MATCH("Team A Goals",tblGroupMatch[#Headers],0))&amp;IF(AND(tblMatchesF[[#This Row],[Team A Penalties]]&gt;0,tblMatchesF[[#This Row],[Team B Penalties]]&gt;0)," (Pen "&amp;tblMatchesF[[#This Row],[Team A Penalties]]&amp;")","")</f>
        <v/>
      </c>
      <c r="AL67" s="28">
        <f>INDEX(tblGroupMatch[],MATCH(tblMatchesF[[#This Row],[Match_Code]],tblGroupMatch[Match_Code],0),MATCH("Team A Penalties",tblGroupMatch[#Headers],0))</f>
        <v>0</v>
      </c>
      <c r="AM67" s="28">
        <f>INDEX(tblGroupMatch[],MATCH(tblMatchesF[[#This Row],[Match_Code]],tblGroupMatch[Match_Code],0),MATCH("Team B Penalties",tblGroupMatch[#Headers],0))</f>
        <v>0</v>
      </c>
      <c r="AN67" s="28" t="str">
        <f>IF(AND(tblMatchesF[[#This Row],[Team A Penalties]]&gt;0,tblMatchesF[[#This Row],[Team B Penalties]]&gt;0),"(Pen "&amp;tblMatchesF[[#This Row],[Team B Penalties]]&amp;") ","")&amp;INDEX(tblGroupMatch[],MATCH(tblMatchesF[[#This Row],[Match_Code]],tblGroupMatch[Match_Code],0),MATCH("Team B Goals",tblGroupMatch[#Headers],0))</f>
        <v/>
      </c>
      <c r="AO67" s="28" t="str">
        <f>INDEX(tblGroupMatch[],MATCH(tblMatchesF[[#This Row],[Match_Code]],tblGroupMatch[Match_Code],0),MATCH("Team B Name",tblGroupMatch[#Headers],0))</f>
        <v>France</v>
      </c>
      <c r="AP67" s="28" t="str">
        <f>INDEX(tblGroupMatch[],MATCH(tblMatchesF[[#This Row],[Match_Code]],tblGroupMatch[Match_Code],0),MATCH("Venue",tblGroupMatch[#Headers],0))</f>
        <v>Puskas Arena (HUN)</v>
      </c>
      <c r="AQ67" s="28" t="str">
        <f t="shared" si="5"/>
        <v xml:space="preserve"> - </v>
      </c>
      <c r="AS67" s="45"/>
      <c r="AT67" s="45"/>
      <c r="AU67" s="45"/>
      <c r="AV67" s="45"/>
      <c r="AW67" s="45"/>
      <c r="AX67" s="45"/>
      <c r="AY67" s="45"/>
      <c r="AZ67" s="45"/>
      <c r="BA67" s="45"/>
      <c r="BB67" s="45"/>
      <c r="BC67" s="45"/>
      <c r="BD67" s="45"/>
      <c r="BE67" s="45"/>
      <c r="BF67" s="45"/>
      <c r="BG67" s="45"/>
      <c r="BH67" s="45"/>
      <c r="BI67" s="45"/>
      <c r="BJ67" s="45"/>
      <c r="BK67" s="45"/>
      <c r="BL67" s="45"/>
      <c r="BM67" s="45"/>
      <c r="BN67" s="45"/>
      <c r="BO67" s="45"/>
    </row>
    <row r="68" spans="2:67" x14ac:dyDescent="0.3">
      <c r="AH68" s="28" t="s">
        <v>382</v>
      </c>
      <c r="AI68" s="28" t="str">
        <f>TEXT(INDEX(tblGroupMatch[],MATCH(tblMatchesF[[#This Row],[Match_Code]],tblGroupMatch[Match_Code],0),MATCH("Date &amp; Time",tblGroupMatch[#Headers],0)),"ddd dd mmm hh:mm")&amp;" ("&amp;INDEX(tblGroupMatch[],MATCH(tblMatchesF[[#This Row],[Match_Code]],tblGroupMatch[Match_Code],0),MATCH("TV_Station",tblGroupMatch[#Headers],0))&amp;")"</f>
        <v>Wed 23 Jun 20:00 (BBC)</v>
      </c>
      <c r="AJ68" s="28" t="str">
        <f>INDEX(tblGroupMatch[],MATCH(tblMatchesF[[#This Row],[Match_Code]],tblGroupMatch[Match_Code],0),MATCH("Team A Name",tblGroupMatch[#Headers],0))</f>
        <v>Germany</v>
      </c>
      <c r="AK68" s="28" t="str">
        <f>INDEX(tblGroupMatch[],MATCH(tblMatchesF[[#This Row],[Match_Code]],tblGroupMatch[Match_Code],0),MATCH("Team A Goals",tblGroupMatch[#Headers],0))&amp;IF(AND(tblMatchesF[[#This Row],[Team A Penalties]]&gt;0,tblMatchesF[[#This Row],[Team B Penalties]]&gt;0)," (Pen "&amp;tblMatchesF[[#This Row],[Team A Penalties]]&amp;")","")</f>
        <v/>
      </c>
      <c r="AL68" s="28">
        <f>INDEX(tblGroupMatch[],MATCH(tblMatchesF[[#This Row],[Match_Code]],tblGroupMatch[Match_Code],0),MATCH("Team A Penalties",tblGroupMatch[#Headers],0))</f>
        <v>0</v>
      </c>
      <c r="AM68" s="28">
        <f>INDEX(tblGroupMatch[],MATCH(tblMatchesF[[#This Row],[Match_Code]],tblGroupMatch[Match_Code],0),MATCH("Team B Penalties",tblGroupMatch[#Headers],0))</f>
        <v>0</v>
      </c>
      <c r="AN68" s="28" t="str">
        <f>IF(AND(tblMatchesF[[#This Row],[Team A Penalties]]&gt;0,tblMatchesF[[#This Row],[Team B Penalties]]&gt;0),"(Pen "&amp;tblMatchesF[[#This Row],[Team B Penalties]]&amp;") ","")&amp;INDEX(tblGroupMatch[],MATCH(tblMatchesF[[#This Row],[Match_Code]],tblGroupMatch[Match_Code],0),MATCH("Team B Goals",tblGroupMatch[#Headers],0))</f>
        <v/>
      </c>
      <c r="AO68" s="28" t="str">
        <f>INDEX(tblGroupMatch[],MATCH(tblMatchesF[[#This Row],[Match_Code]],tblGroupMatch[Match_Code],0),MATCH("Team B Name",tblGroupMatch[#Headers],0))</f>
        <v>Hungary</v>
      </c>
      <c r="AP68" s="28" t="str">
        <f>INDEX(tblGroupMatch[],MATCH(tblMatchesF[[#This Row],[Match_Code]],tblGroupMatch[Match_Code],0),MATCH("Venue",tblGroupMatch[#Headers],0))</f>
        <v>Allianz Arena (GER)</v>
      </c>
      <c r="AQ68" s="28" t="str">
        <f t="shared" si="5"/>
        <v xml:space="preserve"> - </v>
      </c>
      <c r="AS68" s="45"/>
      <c r="AT68" s="45"/>
      <c r="AU68" s="45"/>
      <c r="AV68" s="45"/>
      <c r="AW68" s="45"/>
      <c r="AX68" s="45"/>
      <c r="AY68" s="45"/>
      <c r="AZ68" s="45"/>
      <c r="BA68" s="45"/>
      <c r="BB68" s="45"/>
      <c r="BC68" s="45"/>
      <c r="BD68" s="45"/>
      <c r="BE68" s="45"/>
      <c r="BF68" s="45"/>
      <c r="BG68" s="45"/>
      <c r="BH68" s="45"/>
      <c r="BI68" s="45"/>
      <c r="BJ68" s="45"/>
      <c r="BK68" s="45"/>
      <c r="BL68" s="45"/>
      <c r="BM68" s="45"/>
      <c r="BN68" s="45"/>
      <c r="BO68" s="45"/>
    </row>
    <row r="69" spans="2:67" s="45" customFormat="1" x14ac:dyDescent="0.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4"/>
      <c r="AE69" s="44"/>
      <c r="AH69" s="46"/>
      <c r="AI69" s="46"/>
      <c r="AJ69" s="46"/>
      <c r="AK69" s="46"/>
      <c r="AL69" s="46"/>
      <c r="AM69" s="46"/>
      <c r="AN69" s="46"/>
      <c r="AO69" s="46"/>
      <c r="AP69" s="46"/>
      <c r="AQ69" s="46"/>
    </row>
    <row r="70" spans="2:67" s="45" customFormat="1" x14ac:dyDescent="0.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4"/>
      <c r="AE70" s="44"/>
      <c r="AH70" s="46"/>
      <c r="AI70" s="46"/>
      <c r="AJ70" s="46"/>
      <c r="AK70" s="46"/>
      <c r="AL70" s="46"/>
      <c r="AM70" s="46"/>
      <c r="AN70" s="46"/>
      <c r="AO70" s="46"/>
      <c r="AP70" s="46"/>
      <c r="AQ70" s="46"/>
      <c r="BG70" s="47"/>
      <c r="BH70" s="50"/>
      <c r="BI70" s="47"/>
      <c r="BJ70" s="48"/>
      <c r="BK70" s="49"/>
      <c r="BL70" s="48"/>
      <c r="BM70" s="51"/>
      <c r="BN70" s="52"/>
    </row>
    <row r="71" spans="2:67" s="45" customFormat="1" x14ac:dyDescent="0.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4"/>
      <c r="AE71" s="44"/>
      <c r="AH71" s="46"/>
      <c r="AI71" s="46"/>
      <c r="AJ71" s="46"/>
      <c r="AK71" s="46"/>
      <c r="AL71" s="46"/>
      <c r="AM71" s="46"/>
      <c r="AN71" s="46"/>
      <c r="AO71" s="46"/>
      <c r="AP71" s="46"/>
      <c r="AQ71" s="46"/>
      <c r="BG71" s="47"/>
      <c r="BH71" s="50"/>
      <c r="BI71" s="47"/>
      <c r="BJ71" s="48"/>
      <c r="BK71" s="49"/>
      <c r="BL71" s="48"/>
      <c r="BM71" s="51"/>
      <c r="BN71" s="52"/>
    </row>
    <row r="72" spans="2:67" x14ac:dyDescent="0.3">
      <c r="AS72" s="45"/>
      <c r="AT72" s="45"/>
      <c r="AU72" s="45"/>
      <c r="AV72" s="45"/>
      <c r="AW72" s="45"/>
      <c r="AX72" s="45"/>
      <c r="AY72" s="45"/>
      <c r="AZ72" s="45"/>
      <c r="BA72" s="45"/>
      <c r="BB72" s="45"/>
      <c r="BC72" s="45"/>
      <c r="BD72" s="45"/>
      <c r="BE72" s="45"/>
      <c r="BF72" s="45"/>
      <c r="BH72" s="50"/>
      <c r="BI72" s="47"/>
      <c r="BJ72" s="48"/>
      <c r="BK72" s="49"/>
      <c r="BL72" s="48"/>
      <c r="BM72" s="51"/>
      <c r="BN72" s="52"/>
      <c r="BO72" s="45"/>
    </row>
    <row r="73" spans="2:67" x14ac:dyDescent="0.3">
      <c r="B73" s="27" t="s">
        <v>420</v>
      </c>
      <c r="C73" s="27" t="s">
        <v>39</v>
      </c>
      <c r="D73" s="27" t="s">
        <v>318</v>
      </c>
      <c r="E73" s="27" t="s">
        <v>319</v>
      </c>
      <c r="F73" s="27" t="s">
        <v>320</v>
      </c>
      <c r="G73" s="27" t="s">
        <v>321</v>
      </c>
      <c r="H73" s="27" t="s">
        <v>322</v>
      </c>
      <c r="I73" s="27" t="s">
        <v>323</v>
      </c>
      <c r="J73" s="27" t="s">
        <v>324</v>
      </c>
      <c r="K73" s="27" t="s">
        <v>325</v>
      </c>
      <c r="L73" s="27" t="s">
        <v>326</v>
      </c>
      <c r="M73" s="27" t="s">
        <v>327</v>
      </c>
      <c r="N73" s="27" t="s">
        <v>421</v>
      </c>
      <c r="O73" s="27" t="s">
        <v>422</v>
      </c>
      <c r="P73" s="27" t="s">
        <v>370</v>
      </c>
      <c r="Q73" s="27" t="s">
        <v>426</v>
      </c>
      <c r="AS73" s="45"/>
      <c r="AT73" s="45"/>
      <c r="AU73" s="45"/>
      <c r="AV73" s="45"/>
      <c r="AW73" s="45"/>
      <c r="AX73" s="45"/>
      <c r="AY73" s="45"/>
      <c r="AZ73" s="45"/>
      <c r="BA73" s="45"/>
      <c r="BB73" s="45"/>
      <c r="BC73" s="45"/>
      <c r="BD73" s="45"/>
      <c r="BE73" s="45"/>
      <c r="BF73" s="45"/>
      <c r="BH73" s="50"/>
      <c r="BI73" s="47"/>
      <c r="BJ73" s="48"/>
      <c r="BK73" s="49"/>
      <c r="BL73" s="48"/>
      <c r="BM73" s="51"/>
      <c r="BN73" s="52"/>
      <c r="BO73" s="45"/>
    </row>
    <row r="74" spans="2:67" x14ac:dyDescent="0.3">
      <c r="B74" s="27">
        <v>1</v>
      </c>
      <c r="C74" s="27">
        <f ca="1">INDEX(tblGroupThirdPlaceRank[],MATCH(tblGroupThirdPlace[[#This Row],[Table_Rank]],tblGroupThirdPlaceRank[Total_Group_Rank],0),MATCH("Team_Number",tblGroupThirdPlaceRank[#Headers],0))</f>
        <v>22</v>
      </c>
      <c r="D74" s="27">
        <v>1</v>
      </c>
      <c r="E74" s="27" t="str">
        <f ca="1">INDEX(lkupTeam[],MATCH(tblGroupThirdPlace[[#This Row],[Team_Number]],lkupTeam[Team_Number],0),MATCH("Team",lkupTeam[#Headers],0))</f>
        <v>Portugal</v>
      </c>
      <c r="F74" s="27">
        <f ca="1">INDEX(tblGroupThirdPlaceRank[],MATCH(tblGroupThirdPlace[[#This Row],[Table_Rank]],tblGroupThirdPlaceRank[Total_Group_Rank],0),MATCH("Total_Games",tblGroupThirdPlaceRank[#Headers],0))</f>
        <v>0</v>
      </c>
      <c r="G74" s="27">
        <f ca="1">INDEX(tblGroupThirdPlaceRank[],MATCH(tblGroupThirdPlace[[#This Row],[Table_Rank]],tblGroupThirdPlaceRank[Total_Group_Rank],0),MATCH("Total_Wins",tblGroupThirdPlaceRank[#Headers],0))</f>
        <v>0</v>
      </c>
      <c r="H74" s="27">
        <f ca="1">INDEX(tblGroupThirdPlaceRank[],MATCH(tblGroupThirdPlace[[#This Row],[Table_Rank]],tblGroupThirdPlaceRank[Total_Group_Rank],0),MATCH("Total_Draws",tblGroupThirdPlaceRank[#Headers],0))</f>
        <v>0</v>
      </c>
      <c r="I74" s="27">
        <f ca="1">INDEX(tblGroupThirdPlaceRank[],MATCH(tblGroupThirdPlace[[#This Row],[Table_Rank]],tblGroupThirdPlaceRank[Total_Group_Rank],0),MATCH("Total_Loses",tblGroupThirdPlaceRank[#Headers],0))</f>
        <v>0</v>
      </c>
      <c r="J74" s="27">
        <f ca="1">INDEX(tblGroupThirdPlaceRank[],MATCH(tblGroupThirdPlace[[#This Row],[Table_Rank]],tblGroupThirdPlaceRank[Total_Group_Rank],0),MATCH("Total_Goals_For",tblGroupThirdPlaceRank[#Headers],0))</f>
        <v>0</v>
      </c>
      <c r="K74" s="27">
        <f ca="1">INDEX(tblGroupThirdPlaceRank[],MATCH(tblGroupThirdPlace[[#This Row],[Table_Rank]],tblGroupThirdPlaceRank[Total_Group_Rank],0),MATCH("Total_Goals_Against",tblGroupThirdPlaceRank[#Headers],0))</f>
        <v>0</v>
      </c>
      <c r="L74" s="27">
        <f ca="1">INDEX(tblGroupThirdPlaceRank[],MATCH(tblGroupThirdPlace[[#This Row],[Table_Rank]],tblGroupThirdPlaceRank[Total_Group_Rank],0),MATCH("Goal_Difference",tblGroupThirdPlaceRank[#Headers],0))</f>
        <v>0</v>
      </c>
      <c r="M74" s="27">
        <f ca="1">INDEX(tblGroupThirdPlaceRank[],MATCH(tblGroupThirdPlace[[#This Row],[Table_Rank]],tblGroupThirdPlaceRank[Total_Group_Rank],0),MATCH("Total_Points",tblGroupThirdPlaceRank[#Headers],0))</f>
        <v>0</v>
      </c>
      <c r="N74" s="27">
        <f ca="1">INDEX(tblGroupThirdPlaceRank[],MATCH(tblGroupThirdPlace[[#This Row],[Table_Rank]],tblGroupThirdPlaceRank[Total_Group_Rank],0),MATCH("Total_Diciplinary_Points",tblGroupThirdPlaceRank[#Headers],0))</f>
        <v>0</v>
      </c>
      <c r="O74" s="27">
        <f ca="1">INDEX(tblGroupThirdPlaceRank[],MATCH(tblGroupThirdPlace[[#This Row],[Table_Rank]],tblGroupThirdPlaceRank[Total_Group_Rank],0),MATCH("Qualifier_Rank",tblGroupThirdPlaceRank[#Headers],0))</f>
        <v>1</v>
      </c>
      <c r="P74" s="27" t="str">
        <f ca="1">INDEX(tblGroupThirdPlaceRank[],MATCH(tblGroupThirdPlace[[#This Row],[Table_Rank]],tblGroupThirdPlaceRank[Total_Group_Rank],0),MATCH("Qualify_Note",tblGroupThirdPlaceRank[#Headers],0))</f>
        <v>Euro Qualifier Rank (13)</v>
      </c>
      <c r="Q74" s="27" t="str">
        <f ca="1">INDEX(lkupTeam[],MATCH(tblGroupThirdPlace[[#This Row],[Team_Number]],lkupTeam[Team_Number],0),MATCH("Group_Code",lkupTeam[#Headers],0))</f>
        <v>F</v>
      </c>
      <c r="AS74" s="45"/>
      <c r="AT74" s="45"/>
      <c r="AU74" s="45"/>
      <c r="AV74" s="45"/>
      <c r="AW74" s="45"/>
      <c r="AX74" s="45"/>
      <c r="AY74" s="45"/>
      <c r="AZ74" s="45"/>
      <c r="BA74" s="45"/>
      <c r="BB74" s="45"/>
      <c r="BC74" s="45"/>
      <c r="BD74" s="45"/>
      <c r="BE74" s="45"/>
      <c r="BF74" s="45"/>
      <c r="BH74" s="50"/>
      <c r="BI74" s="47"/>
      <c r="BJ74" s="48"/>
      <c r="BK74" s="49"/>
      <c r="BL74" s="48"/>
      <c r="BM74" s="51"/>
      <c r="BN74" s="52"/>
      <c r="BO74" s="45"/>
    </row>
    <row r="75" spans="2:67" x14ac:dyDescent="0.3">
      <c r="B75" s="27">
        <v>2</v>
      </c>
      <c r="C75" s="27">
        <f ca="1">INDEX(tblGroupThirdPlaceRank[],MATCH(tblGroupThirdPlace[[#This Row],[Table_Rank]],tblGroupThirdPlaceRank[Total_Group_Rank],0),MATCH("Team_Number",tblGroupThirdPlaceRank[#Headers],0))</f>
        <v>1</v>
      </c>
      <c r="D75" s="27">
        <v>2</v>
      </c>
      <c r="E75" s="27" t="str">
        <f ca="1">INDEX(lkupTeam[],MATCH(tblGroupThirdPlace[[#This Row],[Team_Number]],lkupTeam[Team_Number],0),MATCH("Team",lkupTeam[#Headers],0))</f>
        <v>Turkey</v>
      </c>
      <c r="F75" s="27">
        <f ca="1">INDEX(tblGroupThirdPlaceRank[],MATCH(tblGroupThirdPlace[[#This Row],[Table_Rank]],tblGroupThirdPlaceRank[Total_Group_Rank],0),MATCH("Total_Games",tblGroupThirdPlaceRank[#Headers],0))</f>
        <v>0</v>
      </c>
      <c r="G75" s="27">
        <f ca="1">INDEX(tblGroupThirdPlaceRank[],MATCH(tblGroupThirdPlace[[#This Row],[Table_Rank]],tblGroupThirdPlaceRank[Total_Group_Rank],0),MATCH("Total_Wins",tblGroupThirdPlaceRank[#Headers],0))</f>
        <v>0</v>
      </c>
      <c r="H75" s="27">
        <f ca="1">INDEX(tblGroupThirdPlaceRank[],MATCH(tblGroupThirdPlace[[#This Row],[Table_Rank]],tblGroupThirdPlaceRank[Total_Group_Rank],0),MATCH("Total_Draws",tblGroupThirdPlaceRank[#Headers],0))</f>
        <v>0</v>
      </c>
      <c r="I75" s="27">
        <f ca="1">INDEX(tblGroupThirdPlaceRank[],MATCH(tblGroupThirdPlace[[#This Row],[Table_Rank]],tblGroupThirdPlaceRank[Total_Group_Rank],0),MATCH("Total_Loses",tblGroupThirdPlaceRank[#Headers],0))</f>
        <v>0</v>
      </c>
      <c r="J75" s="27">
        <f ca="1">INDEX(tblGroupThirdPlaceRank[],MATCH(tblGroupThirdPlace[[#This Row],[Table_Rank]],tblGroupThirdPlaceRank[Total_Group_Rank],0),MATCH("Total_Goals_For",tblGroupThirdPlaceRank[#Headers],0))</f>
        <v>0</v>
      </c>
      <c r="K75" s="27">
        <f ca="1">INDEX(tblGroupThirdPlaceRank[],MATCH(tblGroupThirdPlace[[#This Row],[Table_Rank]],tblGroupThirdPlaceRank[Total_Group_Rank],0),MATCH("Total_Goals_Against",tblGroupThirdPlaceRank[#Headers],0))</f>
        <v>0</v>
      </c>
      <c r="L75" s="27">
        <f ca="1">INDEX(tblGroupThirdPlaceRank[],MATCH(tblGroupThirdPlace[[#This Row],[Table_Rank]],tblGroupThirdPlaceRank[Total_Group_Rank],0),MATCH("Goal_Difference",tblGroupThirdPlaceRank[#Headers],0))</f>
        <v>0</v>
      </c>
      <c r="M75" s="27">
        <f ca="1">INDEX(tblGroupThirdPlaceRank[],MATCH(tblGroupThirdPlace[[#This Row],[Table_Rank]],tblGroupThirdPlaceRank[Total_Group_Rank],0),MATCH("Total_Points",tblGroupThirdPlaceRank[#Headers],0))</f>
        <v>0</v>
      </c>
      <c r="N75" s="27">
        <f ca="1">INDEX(tblGroupThirdPlaceRank[],MATCH(tblGroupThirdPlace[[#This Row],[Table_Rank]],tblGroupThirdPlaceRank[Total_Group_Rank],0),MATCH("Total_Diciplinary_Points",tblGroupThirdPlaceRank[#Headers],0))</f>
        <v>0</v>
      </c>
      <c r="O75" s="27">
        <f ca="1">INDEX(tblGroupThirdPlaceRank[],MATCH(tblGroupThirdPlace[[#This Row],[Table_Rank]],tblGroupThirdPlaceRank[Total_Group_Rank],0),MATCH("Qualifier_Rank",tblGroupThirdPlaceRank[#Headers],0))</f>
        <v>2</v>
      </c>
      <c r="P75" s="27" t="str">
        <f ca="1">INDEX(tblGroupThirdPlaceRank[],MATCH(tblGroupThirdPlace[[#This Row],[Table_Rank]],tblGroupThirdPlaceRank[Total_Group_Rank],0),MATCH("Qualify_Note",tblGroupThirdPlaceRank[#Headers],0))</f>
        <v>Euro Qualifier Rank (14)</v>
      </c>
      <c r="Q75" s="27" t="str">
        <f ca="1">INDEX(lkupTeam[],MATCH(tblGroupThirdPlace[[#This Row],[Team_Number]],lkupTeam[Team_Number],0),MATCH("Group_Code",lkupTeam[#Headers],0))</f>
        <v>A</v>
      </c>
      <c r="AS75" s="45"/>
      <c r="AT75" s="45"/>
      <c r="AU75" s="45"/>
      <c r="AV75" s="45"/>
      <c r="AW75" s="45"/>
      <c r="AX75" s="45"/>
      <c r="AY75" s="45"/>
      <c r="AZ75" s="45"/>
      <c r="BA75" s="45"/>
      <c r="BB75" s="45"/>
      <c r="BC75" s="45"/>
      <c r="BD75" s="45"/>
      <c r="BE75" s="45"/>
      <c r="BF75" s="45"/>
      <c r="BH75" s="50"/>
      <c r="BI75" s="47"/>
      <c r="BJ75" s="48"/>
      <c r="BK75" s="49"/>
      <c r="BL75" s="48"/>
      <c r="BM75" s="51"/>
      <c r="BN75" s="52"/>
      <c r="BO75" s="45"/>
    </row>
    <row r="76" spans="2:67" x14ac:dyDescent="0.3">
      <c r="B76" s="27">
        <v>3</v>
      </c>
      <c r="C76" s="27">
        <f ca="1">INDEX(tblGroupThirdPlaceRank[],MATCH(tblGroupThirdPlace[[#This Row],[Table_Rank]],tblGroupThirdPlaceRank[Total_Group_Rank],0),MATCH("Team_Number",tblGroupThirdPlaceRank[#Headers],0))</f>
        <v>5</v>
      </c>
      <c r="D76" s="27">
        <v>3</v>
      </c>
      <c r="E76" s="27" t="str">
        <f ca="1">INDEX(lkupTeam[],MATCH(tblGroupThirdPlace[[#This Row],[Team_Number]],lkupTeam[Team_Number],0),MATCH("Team",lkupTeam[#Headers],0))</f>
        <v>Denmark</v>
      </c>
      <c r="F76" s="27">
        <f ca="1">INDEX(tblGroupThirdPlaceRank[],MATCH(tblGroupThirdPlace[[#This Row],[Table_Rank]],tblGroupThirdPlaceRank[Total_Group_Rank],0),MATCH("Total_Games",tblGroupThirdPlaceRank[#Headers],0))</f>
        <v>0</v>
      </c>
      <c r="G76" s="27">
        <f ca="1">INDEX(tblGroupThirdPlaceRank[],MATCH(tblGroupThirdPlace[[#This Row],[Table_Rank]],tblGroupThirdPlaceRank[Total_Group_Rank],0),MATCH("Total_Wins",tblGroupThirdPlaceRank[#Headers],0))</f>
        <v>0</v>
      </c>
      <c r="H76" s="27">
        <f ca="1">INDEX(tblGroupThirdPlaceRank[],MATCH(tblGroupThirdPlace[[#This Row],[Table_Rank]],tblGroupThirdPlaceRank[Total_Group_Rank],0),MATCH("Total_Draws",tblGroupThirdPlaceRank[#Headers],0))</f>
        <v>0</v>
      </c>
      <c r="I76" s="27">
        <f ca="1">INDEX(tblGroupThirdPlaceRank[],MATCH(tblGroupThirdPlace[[#This Row],[Table_Rank]],tblGroupThirdPlaceRank[Total_Group_Rank],0),MATCH("Total_Loses",tblGroupThirdPlaceRank[#Headers],0))</f>
        <v>0</v>
      </c>
      <c r="J76" s="27">
        <f ca="1">INDEX(tblGroupThirdPlaceRank[],MATCH(tblGroupThirdPlace[[#This Row],[Table_Rank]],tblGroupThirdPlaceRank[Total_Group_Rank],0),MATCH("Total_Goals_For",tblGroupThirdPlaceRank[#Headers],0))</f>
        <v>0</v>
      </c>
      <c r="K76" s="27">
        <f ca="1">INDEX(tblGroupThirdPlaceRank[],MATCH(tblGroupThirdPlace[[#This Row],[Table_Rank]],tblGroupThirdPlaceRank[Total_Group_Rank],0),MATCH("Total_Goals_Against",tblGroupThirdPlaceRank[#Headers],0))</f>
        <v>0</v>
      </c>
      <c r="L76" s="27">
        <f ca="1">INDEX(tblGroupThirdPlaceRank[],MATCH(tblGroupThirdPlace[[#This Row],[Table_Rank]],tblGroupThirdPlaceRank[Total_Group_Rank],0),MATCH("Goal_Difference",tblGroupThirdPlaceRank[#Headers],0))</f>
        <v>0</v>
      </c>
      <c r="M76" s="27">
        <f ca="1">INDEX(tblGroupThirdPlaceRank[],MATCH(tblGroupThirdPlace[[#This Row],[Table_Rank]],tblGroupThirdPlaceRank[Total_Group_Rank],0),MATCH("Total_Points",tblGroupThirdPlaceRank[#Headers],0))</f>
        <v>0</v>
      </c>
      <c r="N76" s="27">
        <f ca="1">INDEX(tblGroupThirdPlaceRank[],MATCH(tblGroupThirdPlace[[#This Row],[Table_Rank]],tblGroupThirdPlaceRank[Total_Group_Rank],0),MATCH("Total_Diciplinary_Points",tblGroupThirdPlaceRank[#Headers],0))</f>
        <v>0</v>
      </c>
      <c r="O76" s="27">
        <f ca="1">INDEX(tblGroupThirdPlaceRank[],MATCH(tblGroupThirdPlace[[#This Row],[Table_Rank]],tblGroupThirdPlaceRank[Total_Group_Rank],0),MATCH("Qualifier_Rank",tblGroupThirdPlaceRank[#Headers],0))</f>
        <v>3</v>
      </c>
      <c r="P76" s="27" t="str">
        <f ca="1">INDEX(tblGroupThirdPlaceRank[],MATCH(tblGroupThirdPlace[[#This Row],[Table_Rank]],tblGroupThirdPlaceRank[Total_Group_Rank],0),MATCH("Qualify_Note",tblGroupThirdPlaceRank[#Headers],0))</f>
        <v>Euro Qualifier Rank (15)</v>
      </c>
      <c r="Q76" s="27" t="str">
        <f ca="1">INDEX(lkupTeam[],MATCH(tblGroupThirdPlace[[#This Row],[Team_Number]],lkupTeam[Team_Number],0),MATCH("Group_Code",lkupTeam[#Headers],0))</f>
        <v>B</v>
      </c>
      <c r="AS76" s="45"/>
      <c r="AT76" s="45"/>
      <c r="AU76" s="45"/>
      <c r="AV76" s="45"/>
      <c r="AW76" s="45"/>
      <c r="AX76" s="45"/>
      <c r="AY76" s="45"/>
      <c r="AZ76" s="45"/>
      <c r="BA76" s="45"/>
      <c r="BB76" s="45"/>
      <c r="BC76" s="45"/>
      <c r="BD76" s="45"/>
      <c r="BE76" s="45"/>
      <c r="BF76" s="45"/>
      <c r="BH76" s="50"/>
      <c r="BI76" s="47"/>
      <c r="BJ76" s="48"/>
      <c r="BK76" s="49"/>
      <c r="BL76" s="48"/>
      <c r="BM76" s="51"/>
      <c r="BN76" s="52"/>
      <c r="BO76" s="45"/>
    </row>
    <row r="77" spans="2:67" x14ac:dyDescent="0.3">
      <c r="B77" s="27">
        <v>4</v>
      </c>
      <c r="C77" s="27">
        <f ca="1">INDEX(tblGroupThirdPlaceRank[],MATCH(tblGroupThirdPlace[[#This Row],[Table_Rank]],tblGroupThirdPlaceRank[Total_Group_Rank],0),MATCH("Team_Number",tblGroupThirdPlaceRank[#Headers],0))</f>
        <v>9</v>
      </c>
      <c r="D77" s="27">
        <v>4</v>
      </c>
      <c r="E77" s="27" t="str">
        <f ca="1">INDEX(lkupTeam[],MATCH(tblGroupThirdPlace[[#This Row],[Team_Number]],lkupTeam[Team_Number],0),MATCH("Team",lkupTeam[#Headers],0))</f>
        <v>Austria</v>
      </c>
      <c r="F77" s="27">
        <f ca="1">INDEX(tblGroupThirdPlaceRank[],MATCH(tblGroupThirdPlace[[#This Row],[Table_Rank]],tblGroupThirdPlaceRank[Total_Group_Rank],0),MATCH("Total_Games",tblGroupThirdPlaceRank[#Headers],0))</f>
        <v>0</v>
      </c>
      <c r="G77" s="27">
        <f ca="1">INDEX(tblGroupThirdPlaceRank[],MATCH(tblGroupThirdPlace[[#This Row],[Table_Rank]],tblGroupThirdPlaceRank[Total_Group_Rank],0),MATCH("Total_Wins",tblGroupThirdPlaceRank[#Headers],0))</f>
        <v>0</v>
      </c>
      <c r="H77" s="27">
        <f ca="1">INDEX(tblGroupThirdPlaceRank[],MATCH(tblGroupThirdPlace[[#This Row],[Table_Rank]],tblGroupThirdPlaceRank[Total_Group_Rank],0),MATCH("Total_Draws",tblGroupThirdPlaceRank[#Headers],0))</f>
        <v>0</v>
      </c>
      <c r="I77" s="27">
        <f ca="1">INDEX(tblGroupThirdPlaceRank[],MATCH(tblGroupThirdPlace[[#This Row],[Table_Rank]],tblGroupThirdPlaceRank[Total_Group_Rank],0),MATCH("Total_Loses",tblGroupThirdPlaceRank[#Headers],0))</f>
        <v>0</v>
      </c>
      <c r="J77" s="27">
        <f ca="1">INDEX(tblGroupThirdPlaceRank[],MATCH(tblGroupThirdPlace[[#This Row],[Table_Rank]],tblGroupThirdPlaceRank[Total_Group_Rank],0),MATCH("Total_Goals_For",tblGroupThirdPlaceRank[#Headers],0))</f>
        <v>0</v>
      </c>
      <c r="K77" s="27">
        <f ca="1">INDEX(tblGroupThirdPlaceRank[],MATCH(tblGroupThirdPlace[[#This Row],[Table_Rank]],tblGroupThirdPlaceRank[Total_Group_Rank],0),MATCH("Total_Goals_Against",tblGroupThirdPlaceRank[#Headers],0))</f>
        <v>0</v>
      </c>
      <c r="L77" s="27">
        <f ca="1">INDEX(tblGroupThirdPlaceRank[],MATCH(tblGroupThirdPlace[[#This Row],[Table_Rank]],tblGroupThirdPlaceRank[Total_Group_Rank],0),MATCH("Goal_Difference",tblGroupThirdPlaceRank[#Headers],0))</f>
        <v>0</v>
      </c>
      <c r="M77" s="27">
        <f ca="1">INDEX(tblGroupThirdPlaceRank[],MATCH(tblGroupThirdPlace[[#This Row],[Table_Rank]],tblGroupThirdPlaceRank[Total_Group_Rank],0),MATCH("Total_Points",tblGroupThirdPlaceRank[#Headers],0))</f>
        <v>0</v>
      </c>
      <c r="N77" s="27">
        <f ca="1">INDEX(tblGroupThirdPlaceRank[],MATCH(tblGroupThirdPlace[[#This Row],[Table_Rank]],tblGroupThirdPlaceRank[Total_Group_Rank],0),MATCH("Total_Diciplinary_Points",tblGroupThirdPlaceRank[#Headers],0))</f>
        <v>0</v>
      </c>
      <c r="O77" s="27">
        <f ca="1">INDEX(tblGroupThirdPlaceRank[],MATCH(tblGroupThirdPlace[[#This Row],[Table_Rank]],tblGroupThirdPlaceRank[Total_Group_Rank],0),MATCH("Qualifier_Rank",tblGroupThirdPlaceRank[#Headers],0))</f>
        <v>4</v>
      </c>
      <c r="P77" s="27" t="str">
        <f ca="1">INDEX(tblGroupThirdPlaceRank[],MATCH(tblGroupThirdPlace[[#This Row],[Table_Rank]],tblGroupThirdPlaceRank[Total_Group_Rank],0),MATCH("Qualify_Note",tblGroupThirdPlaceRank[#Headers],0))</f>
        <v>Euro Qualifier Rank (16)</v>
      </c>
      <c r="Q77" s="27" t="str">
        <f ca="1">INDEX(lkupTeam[],MATCH(tblGroupThirdPlace[[#This Row],[Team_Number]],lkupTeam[Team_Number],0),MATCH("Group_Code",lkupTeam[#Headers],0))</f>
        <v>C</v>
      </c>
      <c r="AS77" s="45"/>
      <c r="AT77" s="45"/>
      <c r="AU77" s="45"/>
      <c r="AV77" s="45"/>
      <c r="AW77" s="45"/>
      <c r="AX77" s="45"/>
      <c r="AY77" s="45"/>
      <c r="AZ77" s="45"/>
      <c r="BA77" s="45"/>
      <c r="BB77" s="45"/>
      <c r="BC77" s="45"/>
      <c r="BD77" s="45"/>
      <c r="BE77" s="45"/>
      <c r="BF77" s="45"/>
      <c r="BH77" s="50"/>
      <c r="BI77" s="47"/>
      <c r="BJ77" s="48"/>
      <c r="BK77" s="49"/>
      <c r="BL77" s="48"/>
      <c r="BM77" s="51"/>
      <c r="BN77" s="52"/>
      <c r="BO77" s="45"/>
    </row>
    <row r="78" spans="2:67" x14ac:dyDescent="0.3">
      <c r="B78" s="27">
        <v>5</v>
      </c>
      <c r="C78" s="27">
        <f ca="1">INDEX(tblGroupThirdPlaceRank[],MATCH(tblGroupThirdPlace[[#This Row],[Table_Rank]],tblGroupThirdPlaceRank[Total_Group_Rank],0),MATCH("Team_Number",tblGroupThirdPlaceRank[#Headers],0))</f>
        <v>20</v>
      </c>
      <c r="D78" s="27">
        <v>5</v>
      </c>
      <c r="E78" s="27" t="str">
        <f ca="1">INDEX(lkupTeam[],MATCH(tblGroupThirdPlace[[#This Row],[Team_Number]],lkupTeam[Team_Number],0),MATCH("Team",lkupTeam[#Headers],0))</f>
        <v>Sweden</v>
      </c>
      <c r="F78" s="27">
        <f ca="1">INDEX(tblGroupThirdPlaceRank[],MATCH(tblGroupThirdPlace[[#This Row],[Table_Rank]],tblGroupThirdPlaceRank[Total_Group_Rank],0),MATCH("Total_Games",tblGroupThirdPlaceRank[#Headers],0))</f>
        <v>0</v>
      </c>
      <c r="G78" s="27">
        <f ca="1">INDEX(tblGroupThirdPlaceRank[],MATCH(tblGroupThirdPlace[[#This Row],[Table_Rank]],tblGroupThirdPlaceRank[Total_Group_Rank],0),MATCH("Total_Wins",tblGroupThirdPlaceRank[#Headers],0))</f>
        <v>0</v>
      </c>
      <c r="H78" s="27">
        <f ca="1">INDEX(tblGroupThirdPlaceRank[],MATCH(tblGroupThirdPlace[[#This Row],[Table_Rank]],tblGroupThirdPlaceRank[Total_Group_Rank],0),MATCH("Total_Draws",tblGroupThirdPlaceRank[#Headers],0))</f>
        <v>0</v>
      </c>
      <c r="I78" s="27">
        <f ca="1">INDEX(tblGroupThirdPlaceRank[],MATCH(tblGroupThirdPlace[[#This Row],[Table_Rank]],tblGroupThirdPlaceRank[Total_Group_Rank],0),MATCH("Total_Loses",tblGroupThirdPlaceRank[#Headers],0))</f>
        <v>0</v>
      </c>
      <c r="J78" s="27">
        <f ca="1">INDEX(tblGroupThirdPlaceRank[],MATCH(tblGroupThirdPlace[[#This Row],[Table_Rank]],tblGroupThirdPlaceRank[Total_Group_Rank],0),MATCH("Total_Goals_For",tblGroupThirdPlaceRank[#Headers],0))</f>
        <v>0</v>
      </c>
      <c r="K78" s="27">
        <f ca="1">INDEX(tblGroupThirdPlaceRank[],MATCH(tblGroupThirdPlace[[#This Row],[Table_Rank]],tblGroupThirdPlaceRank[Total_Group_Rank],0),MATCH("Total_Goals_Against",tblGroupThirdPlaceRank[#Headers],0))</f>
        <v>0</v>
      </c>
      <c r="L78" s="27">
        <f ca="1">INDEX(tblGroupThirdPlaceRank[],MATCH(tblGroupThirdPlace[[#This Row],[Table_Rank]],tblGroupThirdPlaceRank[Total_Group_Rank],0),MATCH("Goal_Difference",tblGroupThirdPlaceRank[#Headers],0))</f>
        <v>0</v>
      </c>
      <c r="M78" s="27">
        <f ca="1">INDEX(tblGroupThirdPlaceRank[],MATCH(tblGroupThirdPlace[[#This Row],[Table_Rank]],tblGroupThirdPlaceRank[Total_Group_Rank],0),MATCH("Total_Points",tblGroupThirdPlaceRank[#Headers],0))</f>
        <v>0</v>
      </c>
      <c r="N78" s="27">
        <f ca="1">INDEX(tblGroupThirdPlaceRank[],MATCH(tblGroupThirdPlace[[#This Row],[Table_Rank]],tblGroupThirdPlaceRank[Total_Group_Rank],0),MATCH("Total_Diciplinary_Points",tblGroupThirdPlaceRank[#Headers],0))</f>
        <v>0</v>
      </c>
      <c r="O78" s="27">
        <f ca="1">INDEX(tblGroupThirdPlaceRank[],MATCH(tblGroupThirdPlace[[#This Row],[Table_Rank]],tblGroupThirdPlaceRank[Total_Group_Rank],0),MATCH("Qualifier_Rank",tblGroupThirdPlaceRank[#Headers],0))</f>
        <v>5</v>
      </c>
      <c r="P78" s="27" t="str">
        <f ca="1">INDEX(tblGroupThirdPlaceRank[],MATCH(tblGroupThirdPlace[[#This Row],[Table_Rank]],tblGroupThirdPlaceRank[Total_Group_Rank],0),MATCH("Qualify_Note",tblGroupThirdPlaceRank[#Headers],0))</f>
        <v>Euro Qualifier Rank (17)</v>
      </c>
      <c r="Q78" s="27" t="str">
        <f ca="1">INDEX(lkupTeam[],MATCH(tblGroupThirdPlace[[#This Row],[Team_Number]],lkupTeam[Team_Number],0),MATCH("Group_Code",lkupTeam[#Headers],0))</f>
        <v>E</v>
      </c>
      <c r="AS78" s="45"/>
      <c r="AT78" s="45"/>
      <c r="AU78" s="45"/>
      <c r="AV78" s="45"/>
      <c r="AW78" s="45"/>
      <c r="AX78" s="45"/>
      <c r="AY78" s="45"/>
      <c r="AZ78" s="45"/>
      <c r="BA78" s="45"/>
      <c r="BB78" s="45"/>
      <c r="BC78" s="45"/>
      <c r="BD78" s="45"/>
      <c r="BE78" s="45"/>
      <c r="BF78" s="45"/>
      <c r="BH78" s="50"/>
      <c r="BI78" s="47"/>
      <c r="BJ78" s="48"/>
      <c r="BK78" s="49"/>
      <c r="BL78" s="48"/>
      <c r="BM78" s="51"/>
      <c r="BN78" s="52"/>
      <c r="BO78" s="45"/>
    </row>
    <row r="79" spans="2:67" x14ac:dyDescent="0.3">
      <c r="B79" s="27">
        <v>6</v>
      </c>
      <c r="C79" s="27">
        <f ca="1">INDEX(tblGroupThirdPlaceRank[],MATCH(tblGroupThirdPlace[[#This Row],[Table_Rank]],tblGroupThirdPlaceRank[Total_Group_Rank],0),MATCH("Team_Number",tblGroupThirdPlaceRank[#Headers],0))</f>
        <v>16</v>
      </c>
      <c r="D79" s="27">
        <v>6</v>
      </c>
      <c r="E79" s="27" t="str">
        <f ca="1">INDEX(lkupTeam[],MATCH(tblGroupThirdPlace[[#This Row],[Team_Number]],lkupTeam[Team_Number],0),MATCH("Team",lkupTeam[#Headers],0))</f>
        <v>Czech Republic</v>
      </c>
      <c r="F79" s="27">
        <f ca="1">INDEX(tblGroupThirdPlaceRank[],MATCH(tblGroupThirdPlace[[#This Row],[Table_Rank]],tblGroupThirdPlaceRank[Total_Group_Rank],0),MATCH("Total_Games",tblGroupThirdPlaceRank[#Headers],0))</f>
        <v>0</v>
      </c>
      <c r="G79" s="27">
        <f ca="1">INDEX(tblGroupThirdPlaceRank[],MATCH(tblGroupThirdPlace[[#This Row],[Table_Rank]],tblGroupThirdPlaceRank[Total_Group_Rank],0),MATCH("Total_Wins",tblGroupThirdPlaceRank[#Headers],0))</f>
        <v>0</v>
      </c>
      <c r="H79" s="27">
        <f ca="1">INDEX(tblGroupThirdPlaceRank[],MATCH(tblGroupThirdPlace[[#This Row],[Table_Rank]],tblGroupThirdPlaceRank[Total_Group_Rank],0),MATCH("Total_Draws",tblGroupThirdPlaceRank[#Headers],0))</f>
        <v>0</v>
      </c>
      <c r="I79" s="27">
        <f ca="1">INDEX(tblGroupThirdPlaceRank[],MATCH(tblGroupThirdPlace[[#This Row],[Table_Rank]],tblGroupThirdPlaceRank[Total_Group_Rank],0),MATCH("Total_Loses",tblGroupThirdPlaceRank[#Headers],0))</f>
        <v>0</v>
      </c>
      <c r="J79" s="27">
        <f ca="1">INDEX(tblGroupThirdPlaceRank[],MATCH(tblGroupThirdPlace[[#This Row],[Table_Rank]],tblGroupThirdPlaceRank[Total_Group_Rank],0),MATCH("Total_Goals_For",tblGroupThirdPlaceRank[#Headers],0))</f>
        <v>0</v>
      </c>
      <c r="K79" s="27">
        <f ca="1">INDEX(tblGroupThirdPlaceRank[],MATCH(tblGroupThirdPlace[[#This Row],[Table_Rank]],tblGroupThirdPlaceRank[Total_Group_Rank],0),MATCH("Total_Goals_Against",tblGroupThirdPlaceRank[#Headers],0))</f>
        <v>0</v>
      </c>
      <c r="L79" s="27">
        <f ca="1">INDEX(tblGroupThirdPlaceRank[],MATCH(tblGroupThirdPlace[[#This Row],[Table_Rank]],tblGroupThirdPlaceRank[Total_Group_Rank],0),MATCH("Goal_Difference",tblGroupThirdPlaceRank[#Headers],0))</f>
        <v>0</v>
      </c>
      <c r="M79" s="27">
        <f ca="1">INDEX(tblGroupThirdPlaceRank[],MATCH(tblGroupThirdPlace[[#This Row],[Table_Rank]],tblGroupThirdPlaceRank[Total_Group_Rank],0),MATCH("Total_Points",tblGroupThirdPlaceRank[#Headers],0))</f>
        <v>0</v>
      </c>
      <c r="N79" s="27">
        <f ca="1">INDEX(tblGroupThirdPlaceRank[],MATCH(tblGroupThirdPlace[[#This Row],[Table_Rank]],tblGroupThirdPlaceRank[Total_Group_Rank],0),MATCH("Total_Diciplinary_Points",tblGroupThirdPlaceRank[#Headers],0))</f>
        <v>0</v>
      </c>
      <c r="O79" s="27">
        <f ca="1">INDEX(tblGroupThirdPlaceRank[],MATCH(tblGroupThirdPlace[[#This Row],[Table_Rank]],tblGroupThirdPlaceRank[Total_Group_Rank],0),MATCH("Qualifier_Rank",tblGroupThirdPlaceRank[#Headers],0))</f>
        <v>6</v>
      </c>
      <c r="P79" s="27" t="str">
        <f ca="1">INDEX(tblGroupThirdPlaceRank[],MATCH(tblGroupThirdPlace[[#This Row],[Table_Rank]],tblGroupThirdPlaceRank[Total_Group_Rank],0),MATCH("Qualify_Note",tblGroupThirdPlaceRank[#Headers],0))</f>
        <v>Euro Qualifier Rank (18)</v>
      </c>
      <c r="Q79" s="27" t="str">
        <f ca="1">INDEX(lkupTeam[],MATCH(tblGroupThirdPlace[[#This Row],[Team_Number]],lkupTeam[Team_Number],0),MATCH("Group_Code",lkupTeam[#Headers],0))</f>
        <v>D</v>
      </c>
      <c r="AS79" s="45"/>
      <c r="AT79" s="45"/>
      <c r="AU79" s="45"/>
      <c r="AV79" s="45"/>
      <c r="AW79" s="45"/>
      <c r="AX79" s="45"/>
      <c r="AY79" s="45"/>
      <c r="AZ79" s="45"/>
      <c r="BA79" s="45"/>
      <c r="BB79" s="45"/>
      <c r="BC79" s="45"/>
      <c r="BD79" s="45"/>
      <c r="BE79" s="45"/>
      <c r="BF79" s="45"/>
      <c r="BH79" s="50"/>
      <c r="BI79" s="47"/>
      <c r="BJ79" s="48"/>
      <c r="BK79" s="49"/>
      <c r="BL79" s="48"/>
      <c r="BM79" s="51"/>
      <c r="BN79" s="52"/>
      <c r="BO79" s="45"/>
    </row>
    <row r="80" spans="2:67" x14ac:dyDescent="0.3">
      <c r="B80" s="27" t="s">
        <v>438</v>
      </c>
      <c r="F80" s="27">
        <f ca="1">SUBTOTAL(109,tblGroupThirdPlace[Table_Played])</f>
        <v>0</v>
      </c>
      <c r="Q80" s="27">
        <f ca="1">SUBTOTAL(103,tblGroupThirdPlace[Qualify_Group])</f>
        <v>6</v>
      </c>
      <c r="AS80" s="45"/>
      <c r="AT80" s="45"/>
      <c r="AU80" s="45"/>
      <c r="AV80" s="45"/>
      <c r="AW80" s="45"/>
      <c r="AX80" s="45"/>
      <c r="AY80" s="45"/>
      <c r="AZ80" s="45"/>
      <c r="BA80" s="45"/>
      <c r="BB80" s="45"/>
      <c r="BC80" s="45"/>
      <c r="BD80" s="45"/>
      <c r="BE80" s="45"/>
      <c r="BF80" s="45"/>
      <c r="BH80" s="50"/>
      <c r="BI80" s="47"/>
      <c r="BJ80" s="48"/>
      <c r="BK80" s="49"/>
      <c r="BL80" s="48"/>
      <c r="BM80" s="51"/>
      <c r="BN80" s="52"/>
      <c r="BO80" s="45"/>
    </row>
    <row r="81" spans="2:66" s="45" customFormat="1" x14ac:dyDescent="0.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4"/>
      <c r="AE81" s="44"/>
      <c r="AH81" s="46"/>
      <c r="AI81" s="46"/>
      <c r="AJ81" s="46"/>
      <c r="AK81" s="46"/>
      <c r="AL81" s="46"/>
      <c r="AM81" s="46"/>
      <c r="AN81" s="46"/>
      <c r="AO81" s="46"/>
      <c r="AP81" s="46"/>
      <c r="AQ81" s="46"/>
      <c r="BG81" s="47"/>
      <c r="BH81" s="50"/>
      <c r="BI81" s="47"/>
      <c r="BJ81" s="48"/>
      <c r="BK81" s="49"/>
      <c r="BL81" s="48"/>
      <c r="BM81" s="51"/>
      <c r="BN81" s="52"/>
    </row>
    <row r="82" spans="2:66" s="45" customFormat="1" x14ac:dyDescent="0.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4"/>
      <c r="AE82" s="44"/>
      <c r="AH82" s="46"/>
      <c r="AI82" s="46"/>
      <c r="AJ82" s="46"/>
      <c r="AK82" s="46"/>
      <c r="AL82" s="46"/>
      <c r="AM82" s="46"/>
      <c r="AN82" s="46"/>
      <c r="AO82" s="46"/>
      <c r="AP82" s="46"/>
      <c r="AQ82" s="46"/>
      <c r="AT82" s="47"/>
      <c r="AU82" s="47"/>
      <c r="AV82" s="48"/>
      <c r="AW82" s="48"/>
      <c r="AX82" s="48"/>
      <c r="AY82" s="48"/>
      <c r="AZ82" s="48"/>
      <c r="BA82" s="48"/>
      <c r="BB82" s="48"/>
      <c r="BC82" s="48"/>
      <c r="BD82" s="49"/>
      <c r="BE82" s="47"/>
      <c r="BF82" s="47"/>
      <c r="BG82" s="47"/>
      <c r="BH82" s="50"/>
      <c r="BI82" s="47"/>
      <c r="BJ82" s="48"/>
      <c r="BK82" s="49"/>
      <c r="BL82" s="48"/>
      <c r="BM82" s="51"/>
      <c r="BN82" s="52"/>
    </row>
    <row r="83" spans="2:66" s="45" customFormat="1" x14ac:dyDescent="0.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4"/>
      <c r="AE83" s="44"/>
      <c r="AH83" s="46"/>
      <c r="AI83" s="46"/>
      <c r="AJ83" s="46"/>
      <c r="AK83" s="46"/>
      <c r="AL83" s="46"/>
      <c r="AM83" s="46"/>
      <c r="AN83" s="46"/>
      <c r="AO83" s="46"/>
      <c r="AP83" s="46"/>
      <c r="AQ83" s="46"/>
      <c r="AT83" s="47"/>
      <c r="AU83" s="47"/>
      <c r="AV83" s="48"/>
      <c r="AW83" s="48"/>
      <c r="AX83" s="48"/>
      <c r="AY83" s="48"/>
      <c r="AZ83" s="48"/>
      <c r="BA83" s="48"/>
      <c r="BB83" s="48"/>
      <c r="BC83" s="48"/>
      <c r="BD83" s="49"/>
      <c r="BE83" s="47"/>
      <c r="BF83" s="47"/>
      <c r="BG83" s="47"/>
      <c r="BH83" s="50"/>
      <c r="BI83" s="47"/>
      <c r="BJ83" s="48"/>
      <c r="BK83" s="49"/>
      <c r="BL83" s="48"/>
      <c r="BM83" s="51"/>
      <c r="BN83" s="52"/>
    </row>
    <row r="84" spans="2:66" s="45" customFormat="1" x14ac:dyDescent="0.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4"/>
      <c r="AE84" s="44"/>
      <c r="AH84" s="46"/>
      <c r="AI84" s="46"/>
      <c r="AJ84" s="46"/>
      <c r="AK84" s="46"/>
      <c r="AL84" s="46"/>
      <c r="AM84" s="46"/>
      <c r="AN84" s="46"/>
      <c r="AO84" s="46"/>
      <c r="AP84" s="46"/>
      <c r="AQ84" s="46"/>
      <c r="AT84" s="47"/>
      <c r="AU84" s="47"/>
      <c r="AV84" s="48"/>
      <c r="AW84" s="48"/>
      <c r="AX84" s="48"/>
      <c r="AY84" s="48"/>
      <c r="AZ84" s="48"/>
      <c r="BA84" s="48"/>
      <c r="BB84" s="48"/>
      <c r="BC84" s="48"/>
      <c r="BD84" s="49"/>
      <c r="BE84" s="47"/>
      <c r="BF84" s="47"/>
      <c r="BG84" s="47"/>
      <c r="BH84" s="50"/>
      <c r="BI84" s="47"/>
      <c r="BJ84" s="48"/>
      <c r="BK84" s="49"/>
      <c r="BL84" s="48"/>
      <c r="BM84" s="51"/>
      <c r="BN84" s="52"/>
    </row>
    <row r="85" spans="2:66" s="45" customFormat="1" x14ac:dyDescent="0.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4"/>
      <c r="AE85" s="44"/>
      <c r="AH85" s="46"/>
      <c r="AI85" s="46"/>
      <c r="AJ85" s="46"/>
      <c r="AK85" s="46"/>
      <c r="AL85" s="46"/>
      <c r="AM85" s="46"/>
      <c r="AN85" s="46"/>
      <c r="AO85" s="46"/>
      <c r="AP85" s="46"/>
      <c r="AQ85" s="46"/>
      <c r="AT85" s="47"/>
      <c r="AU85" s="47"/>
      <c r="AV85" s="48"/>
      <c r="AW85" s="48"/>
      <c r="AX85" s="48"/>
      <c r="AY85" s="48"/>
      <c r="AZ85" s="48"/>
      <c r="BA85" s="48"/>
      <c r="BB85" s="48"/>
      <c r="BC85" s="48"/>
      <c r="BD85" s="49"/>
      <c r="BE85" s="47"/>
      <c r="BF85" s="47"/>
      <c r="BG85" s="47"/>
      <c r="BH85" s="50"/>
      <c r="BI85" s="47"/>
      <c r="BJ85" s="48"/>
      <c r="BK85" s="49"/>
      <c r="BL85" s="48"/>
      <c r="BM85" s="51"/>
      <c r="BN85" s="52"/>
    </row>
    <row r="86" spans="2:66" s="45" customFormat="1" x14ac:dyDescent="0.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4"/>
      <c r="AE86" s="44"/>
      <c r="AH86" s="46"/>
      <c r="AI86" s="46"/>
      <c r="AJ86" s="46"/>
      <c r="AK86" s="46"/>
      <c r="AL86" s="46"/>
      <c r="AM86" s="46"/>
      <c r="AN86" s="46"/>
      <c r="AO86" s="46"/>
      <c r="AP86" s="46"/>
      <c r="AQ86" s="46"/>
      <c r="AT86" s="47"/>
      <c r="AU86" s="47"/>
      <c r="AV86" s="48"/>
      <c r="AW86" s="48"/>
      <c r="AX86" s="48"/>
      <c r="AY86" s="48"/>
      <c r="AZ86" s="48"/>
      <c r="BA86" s="48"/>
      <c r="BB86" s="48"/>
      <c r="BC86" s="48"/>
      <c r="BD86" s="49"/>
      <c r="BE86" s="47"/>
      <c r="BF86" s="47"/>
      <c r="BG86" s="47"/>
      <c r="BH86" s="50"/>
      <c r="BI86" s="47"/>
      <c r="BJ86" s="48"/>
      <c r="BK86" s="49"/>
      <c r="BL86" s="48"/>
      <c r="BM86" s="51"/>
      <c r="BN86" s="52"/>
    </row>
    <row r="87" spans="2:66" s="45" customFormat="1" x14ac:dyDescent="0.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4"/>
      <c r="AE87" s="44"/>
      <c r="AH87" s="46"/>
      <c r="AI87" s="46"/>
      <c r="AJ87" s="46"/>
      <c r="AK87" s="46"/>
      <c r="AL87" s="46"/>
      <c r="AM87" s="46"/>
      <c r="AN87" s="46"/>
      <c r="AO87" s="46"/>
      <c r="AP87" s="46"/>
      <c r="AQ87" s="46"/>
      <c r="AT87" s="47"/>
      <c r="AU87" s="47"/>
      <c r="AV87" s="48"/>
      <c r="AW87" s="48"/>
      <c r="AX87" s="48"/>
      <c r="AY87" s="48"/>
      <c r="AZ87" s="48"/>
      <c r="BA87" s="48"/>
      <c r="BB87" s="48"/>
      <c r="BC87" s="48"/>
      <c r="BD87" s="49"/>
      <c r="BE87" s="47"/>
      <c r="BF87" s="47"/>
      <c r="BG87" s="47"/>
      <c r="BH87" s="50"/>
      <c r="BI87" s="47"/>
      <c r="BJ87" s="48"/>
      <c r="BK87" s="49"/>
      <c r="BL87" s="48"/>
      <c r="BM87" s="51"/>
      <c r="BN87" s="52"/>
    </row>
    <row r="88" spans="2:66" s="45" customFormat="1" x14ac:dyDescent="0.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4"/>
      <c r="AE88" s="44"/>
      <c r="AH88" s="46"/>
      <c r="AI88" s="46"/>
      <c r="AJ88" s="46"/>
      <c r="AK88" s="46"/>
      <c r="AL88" s="46"/>
      <c r="AM88" s="46"/>
      <c r="AN88" s="46"/>
      <c r="AO88" s="46"/>
      <c r="AP88" s="46"/>
      <c r="AQ88" s="46"/>
      <c r="AT88" s="47"/>
      <c r="AU88" s="47"/>
      <c r="AV88" s="48"/>
      <c r="AW88" s="48"/>
      <c r="AX88" s="48"/>
      <c r="AY88" s="48"/>
      <c r="AZ88" s="48"/>
      <c r="BA88" s="48"/>
      <c r="BB88" s="48"/>
      <c r="BC88" s="48"/>
      <c r="BD88" s="49"/>
      <c r="BE88" s="47"/>
      <c r="BF88" s="47"/>
      <c r="BG88" s="47"/>
      <c r="BH88" s="50"/>
      <c r="BI88" s="47"/>
      <c r="BJ88" s="48"/>
      <c r="BK88" s="49"/>
      <c r="BL88" s="48"/>
      <c r="BM88" s="51"/>
      <c r="BN88" s="52"/>
    </row>
    <row r="89" spans="2:66" s="45" customFormat="1" x14ac:dyDescent="0.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4"/>
      <c r="AE89" s="44"/>
      <c r="AH89" s="46"/>
      <c r="AI89" s="46"/>
      <c r="AJ89" s="46"/>
      <c r="AK89" s="46"/>
      <c r="AL89" s="46"/>
      <c r="AM89" s="46"/>
      <c r="AN89" s="46"/>
      <c r="AO89" s="46"/>
      <c r="AP89" s="46"/>
      <c r="AQ89" s="46"/>
      <c r="AT89" s="47"/>
      <c r="AU89" s="47"/>
      <c r="AV89" s="48"/>
      <c r="AW89" s="48"/>
      <c r="AX89" s="48"/>
      <c r="AY89" s="48"/>
      <c r="AZ89" s="48"/>
      <c r="BA89" s="48"/>
      <c r="BB89" s="48"/>
      <c r="BC89" s="48"/>
      <c r="BD89" s="49"/>
      <c r="BE89" s="47"/>
      <c r="BF89" s="47"/>
      <c r="BG89" s="47"/>
      <c r="BH89" s="50"/>
      <c r="BI89" s="47"/>
      <c r="BJ89" s="48"/>
      <c r="BK89" s="49"/>
      <c r="BL89" s="48"/>
      <c r="BM89" s="51"/>
      <c r="BN89" s="52"/>
    </row>
    <row r="90" spans="2:66" s="45" customFormat="1" x14ac:dyDescent="0.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4"/>
      <c r="AE90" s="44"/>
      <c r="AH90" s="46"/>
      <c r="AI90" s="46"/>
      <c r="AJ90" s="46"/>
      <c r="AK90" s="46"/>
      <c r="AL90" s="46"/>
      <c r="AM90" s="46"/>
      <c r="AN90" s="46"/>
      <c r="AO90" s="46"/>
      <c r="AP90" s="46"/>
      <c r="AQ90" s="46"/>
      <c r="AT90" s="47"/>
      <c r="AU90" s="47"/>
      <c r="AV90" s="48"/>
      <c r="AW90" s="48"/>
      <c r="AX90" s="48"/>
      <c r="AY90" s="48"/>
      <c r="AZ90" s="48"/>
      <c r="BA90" s="48"/>
      <c r="BB90" s="48"/>
      <c r="BC90" s="48"/>
      <c r="BD90" s="49"/>
      <c r="BE90" s="47"/>
      <c r="BF90" s="47"/>
      <c r="BG90" s="47"/>
      <c r="BH90" s="50"/>
      <c r="BI90" s="47"/>
      <c r="BJ90" s="48"/>
      <c r="BK90" s="49"/>
      <c r="BL90" s="48"/>
      <c r="BM90" s="51"/>
      <c r="BN90" s="52"/>
    </row>
    <row r="91" spans="2:66" s="45" customFormat="1" x14ac:dyDescent="0.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4"/>
      <c r="AE91" s="44"/>
      <c r="AH91" s="46"/>
      <c r="AI91" s="46"/>
      <c r="AJ91" s="46"/>
      <c r="AK91" s="46"/>
      <c r="AL91" s="46"/>
      <c r="AM91" s="46"/>
      <c r="AN91" s="46"/>
      <c r="AO91" s="46"/>
      <c r="AP91" s="46"/>
      <c r="AQ91" s="46"/>
      <c r="AT91" s="47"/>
      <c r="AU91" s="47"/>
      <c r="AV91" s="48"/>
      <c r="AW91" s="48"/>
      <c r="AX91" s="48"/>
      <c r="AY91" s="48"/>
      <c r="AZ91" s="48"/>
      <c r="BA91" s="48"/>
      <c r="BB91" s="48"/>
      <c r="BC91" s="48"/>
      <c r="BD91" s="49"/>
      <c r="BE91" s="47"/>
      <c r="BF91" s="47"/>
      <c r="BG91" s="47"/>
      <c r="BH91" s="50"/>
      <c r="BI91" s="47"/>
      <c r="BJ91" s="48"/>
      <c r="BK91" s="49"/>
      <c r="BL91" s="48"/>
      <c r="BM91" s="51"/>
      <c r="BN91" s="52"/>
    </row>
    <row r="92" spans="2:66" s="45" customFormat="1" x14ac:dyDescent="0.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4"/>
      <c r="AE92" s="44"/>
      <c r="AH92" s="46"/>
      <c r="AI92" s="46"/>
      <c r="AJ92" s="46"/>
      <c r="AK92" s="46"/>
      <c r="AL92" s="46"/>
      <c r="AM92" s="46"/>
      <c r="AN92" s="46"/>
      <c r="AO92" s="46"/>
      <c r="AP92" s="46"/>
      <c r="AQ92" s="46"/>
      <c r="AT92" s="47"/>
      <c r="AU92" s="47"/>
      <c r="AV92" s="48"/>
      <c r="AW92" s="48"/>
      <c r="AX92" s="48"/>
      <c r="AY92" s="48"/>
      <c r="AZ92" s="48"/>
      <c r="BA92" s="48"/>
      <c r="BB92" s="48"/>
      <c r="BC92" s="48"/>
      <c r="BD92" s="49"/>
      <c r="BE92" s="47"/>
      <c r="BF92" s="47"/>
      <c r="BG92" s="47"/>
      <c r="BH92" s="50"/>
      <c r="BI92" s="47"/>
      <c r="BJ92" s="48"/>
      <c r="BK92" s="49"/>
      <c r="BL92" s="48"/>
      <c r="BM92" s="51"/>
      <c r="BN92" s="52"/>
    </row>
    <row r="93" spans="2:66" s="45" customFormat="1" x14ac:dyDescent="0.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4"/>
      <c r="AE93" s="44"/>
      <c r="AH93" s="46"/>
      <c r="AI93" s="46"/>
      <c r="AJ93" s="46"/>
      <c r="AK93" s="46"/>
      <c r="AL93" s="46"/>
      <c r="AM93" s="46"/>
      <c r="AN93" s="46"/>
      <c r="AO93" s="46"/>
      <c r="AP93" s="46"/>
      <c r="AQ93" s="46"/>
      <c r="AT93" s="47"/>
      <c r="AU93" s="47"/>
      <c r="AV93" s="48"/>
      <c r="AW93" s="48"/>
      <c r="AX93" s="48"/>
      <c r="AY93" s="48"/>
      <c r="AZ93" s="48"/>
      <c r="BA93" s="48"/>
      <c r="BB93" s="48"/>
      <c r="BC93" s="48"/>
      <c r="BD93" s="49"/>
      <c r="BE93" s="47"/>
      <c r="BF93" s="47"/>
      <c r="BG93" s="47"/>
      <c r="BH93" s="50"/>
      <c r="BI93" s="47"/>
      <c r="BJ93" s="48"/>
      <c r="BK93" s="49"/>
      <c r="BL93" s="48"/>
      <c r="BM93" s="51"/>
      <c r="BN93" s="52"/>
    </row>
    <row r="94" spans="2:66" s="45" customFormat="1" x14ac:dyDescent="0.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4"/>
      <c r="AE94" s="44"/>
      <c r="AH94" s="46"/>
      <c r="AI94" s="46"/>
      <c r="AJ94" s="46"/>
      <c r="AK94" s="46"/>
      <c r="AL94" s="46"/>
      <c r="AM94" s="46"/>
      <c r="AN94" s="46"/>
      <c r="AO94" s="46"/>
      <c r="AP94" s="46"/>
      <c r="AQ94" s="46"/>
      <c r="AT94" s="47"/>
      <c r="AU94" s="47"/>
      <c r="AV94" s="48"/>
      <c r="AW94" s="48"/>
      <c r="AX94" s="48"/>
      <c r="AY94" s="48"/>
      <c r="AZ94" s="48"/>
      <c r="BA94" s="48"/>
      <c r="BB94" s="48"/>
      <c r="BC94" s="48"/>
      <c r="BD94" s="49"/>
      <c r="BE94" s="47"/>
      <c r="BF94" s="47"/>
      <c r="BG94" s="47"/>
      <c r="BH94" s="50"/>
      <c r="BI94" s="47"/>
      <c r="BJ94" s="48"/>
      <c r="BK94" s="49"/>
      <c r="BL94" s="48"/>
      <c r="BM94" s="51"/>
      <c r="BN94" s="52"/>
    </row>
    <row r="95" spans="2:66" s="45" customFormat="1" x14ac:dyDescent="0.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4"/>
      <c r="AE95" s="44"/>
      <c r="AH95" s="46"/>
      <c r="AI95" s="46"/>
      <c r="AJ95" s="46"/>
      <c r="AK95" s="46"/>
      <c r="AL95" s="46"/>
      <c r="AM95" s="46"/>
      <c r="AN95" s="46"/>
      <c r="AO95" s="46"/>
      <c r="AP95" s="46"/>
      <c r="AQ95" s="46"/>
      <c r="AT95" s="47"/>
      <c r="AU95" s="47"/>
      <c r="AV95" s="48"/>
      <c r="AW95" s="48"/>
      <c r="AX95" s="48"/>
      <c r="AY95" s="48"/>
      <c r="AZ95" s="48"/>
      <c r="BA95" s="48"/>
      <c r="BB95" s="48"/>
      <c r="BC95" s="48"/>
      <c r="BD95" s="49"/>
      <c r="BE95" s="47"/>
      <c r="BF95" s="47"/>
      <c r="BG95" s="47"/>
      <c r="BH95" s="50"/>
      <c r="BI95" s="47"/>
      <c r="BJ95" s="48"/>
      <c r="BK95" s="49"/>
      <c r="BL95" s="48"/>
      <c r="BM95" s="51"/>
      <c r="BN95" s="52"/>
    </row>
    <row r="96" spans="2:66" s="45" customFormat="1" x14ac:dyDescent="0.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4"/>
      <c r="AE96" s="44"/>
      <c r="AH96" s="46"/>
      <c r="AI96" s="46"/>
      <c r="AJ96" s="46"/>
      <c r="AK96" s="46"/>
      <c r="AL96" s="46"/>
      <c r="AM96" s="46"/>
      <c r="AN96" s="46"/>
      <c r="AO96" s="46"/>
      <c r="AP96" s="46"/>
      <c r="AQ96" s="46"/>
      <c r="AT96" s="47"/>
      <c r="AU96" s="47"/>
      <c r="AV96" s="48"/>
      <c r="AW96" s="48"/>
      <c r="AX96" s="48"/>
      <c r="AY96" s="48"/>
      <c r="AZ96" s="48"/>
      <c r="BA96" s="48"/>
      <c r="BB96" s="48"/>
      <c r="BC96" s="48"/>
      <c r="BD96" s="49"/>
      <c r="BE96" s="47"/>
      <c r="BF96" s="47"/>
      <c r="BG96" s="47"/>
      <c r="BH96" s="50"/>
      <c r="BI96" s="47"/>
      <c r="BJ96" s="48"/>
      <c r="BK96" s="49"/>
      <c r="BL96" s="48"/>
      <c r="BM96" s="51"/>
      <c r="BN96" s="52"/>
    </row>
    <row r="97" spans="2:67" s="45" customFormat="1" x14ac:dyDescent="0.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4"/>
      <c r="AE97" s="44"/>
      <c r="AH97" s="46"/>
      <c r="AI97" s="46"/>
      <c r="AJ97" s="46"/>
      <c r="AK97" s="46"/>
      <c r="AL97" s="46"/>
      <c r="AM97" s="46"/>
      <c r="AN97" s="46"/>
      <c r="AO97" s="46"/>
      <c r="AP97" s="46"/>
      <c r="AQ97" s="46"/>
      <c r="AT97" s="47"/>
      <c r="AU97" s="47"/>
      <c r="AV97" s="48"/>
      <c r="AW97" s="48"/>
      <c r="AX97" s="48"/>
      <c r="AY97" s="48"/>
      <c r="AZ97" s="48"/>
      <c r="BA97" s="48"/>
      <c r="BB97" s="48"/>
      <c r="BC97" s="48"/>
      <c r="BD97" s="49"/>
      <c r="BE97" s="47"/>
      <c r="BF97" s="47"/>
      <c r="BG97" s="47"/>
      <c r="BH97" s="50"/>
      <c r="BI97" s="47"/>
      <c r="BJ97" s="48"/>
      <c r="BK97" s="49"/>
      <c r="BL97" s="48"/>
      <c r="BM97" s="51"/>
      <c r="BN97" s="52"/>
    </row>
    <row r="98" spans="2:67" s="45" customFormat="1" x14ac:dyDescent="0.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4"/>
      <c r="AE98" s="44"/>
      <c r="AH98" s="46"/>
      <c r="AI98" s="46"/>
      <c r="AJ98" s="46"/>
      <c r="AK98" s="46"/>
      <c r="AL98" s="46"/>
      <c r="AM98" s="46"/>
      <c r="AN98" s="46"/>
      <c r="AO98" s="46"/>
      <c r="AP98" s="46"/>
      <c r="AQ98" s="46"/>
      <c r="AT98" s="47"/>
      <c r="AU98" s="47"/>
      <c r="AV98" s="48"/>
      <c r="AW98" s="48"/>
      <c r="AX98" s="48"/>
      <c r="AY98" s="48"/>
      <c r="AZ98" s="48"/>
      <c r="BA98" s="48"/>
      <c r="BB98" s="48"/>
      <c r="BC98" s="48"/>
      <c r="BD98" s="49"/>
      <c r="BE98" s="47"/>
      <c r="BF98" s="47"/>
      <c r="BG98" s="47"/>
      <c r="BH98" s="50"/>
      <c r="BI98" s="47"/>
      <c r="BJ98" s="48"/>
      <c r="BK98" s="49"/>
      <c r="BL98" s="48"/>
      <c r="BM98" s="51"/>
      <c r="BN98" s="52"/>
    </row>
    <row r="99" spans="2:67" s="45" customFormat="1" x14ac:dyDescent="0.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4"/>
      <c r="AE99" s="44"/>
      <c r="AH99" s="46"/>
      <c r="AI99" s="46"/>
      <c r="AJ99" s="46"/>
      <c r="AK99" s="46"/>
      <c r="AL99" s="46"/>
      <c r="AM99" s="46"/>
      <c r="AN99" s="46"/>
      <c r="AO99" s="46"/>
      <c r="AP99" s="46"/>
      <c r="AQ99" s="46"/>
      <c r="AT99" s="47"/>
      <c r="AU99" s="47"/>
      <c r="AV99" s="48"/>
      <c r="AW99" s="48"/>
      <c r="AX99" s="48"/>
      <c r="AY99" s="48"/>
      <c r="AZ99" s="48"/>
      <c r="BA99" s="48"/>
      <c r="BB99" s="48"/>
      <c r="BC99" s="48"/>
      <c r="BD99" s="49"/>
      <c r="BE99" s="47"/>
      <c r="BF99" s="47"/>
      <c r="BG99" s="47"/>
      <c r="BH99" s="50"/>
      <c r="BI99" s="47"/>
      <c r="BJ99" s="48"/>
      <c r="BK99" s="49"/>
      <c r="BL99" s="48"/>
      <c r="BM99" s="51"/>
      <c r="BN99" s="52"/>
    </row>
    <row r="100" spans="2:67" s="45" customFormat="1" x14ac:dyDescent="0.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4"/>
      <c r="AE100" s="44"/>
      <c r="AH100" s="46"/>
      <c r="AI100" s="46"/>
      <c r="AJ100" s="46"/>
      <c r="AK100" s="46"/>
      <c r="AL100" s="46"/>
      <c r="AM100" s="46"/>
      <c r="AN100" s="46"/>
      <c r="AO100" s="46"/>
      <c r="AP100" s="46"/>
      <c r="AQ100" s="46"/>
      <c r="AT100" s="47"/>
      <c r="AU100" s="47"/>
      <c r="AV100" s="48"/>
      <c r="AW100" s="48"/>
      <c r="AX100" s="48"/>
      <c r="AY100" s="48"/>
      <c r="AZ100" s="48"/>
      <c r="BA100" s="48"/>
      <c r="BB100" s="48"/>
      <c r="BC100" s="48"/>
      <c r="BD100" s="49"/>
      <c r="BE100" s="47"/>
      <c r="BF100" s="47"/>
      <c r="BG100" s="47"/>
      <c r="BH100" s="50"/>
      <c r="BI100" s="47"/>
      <c r="BJ100" s="48"/>
      <c r="BK100" s="49"/>
      <c r="BL100" s="48"/>
      <c r="BM100" s="51"/>
      <c r="BN100" s="52"/>
    </row>
    <row r="101" spans="2:67" s="45" customFormat="1" x14ac:dyDescent="0.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4"/>
      <c r="AE101" s="44"/>
      <c r="AH101" s="46"/>
      <c r="AI101" s="46"/>
      <c r="AJ101" s="46"/>
      <c r="AK101" s="46"/>
      <c r="AL101" s="46"/>
      <c r="AM101" s="46"/>
      <c r="AN101" s="46"/>
      <c r="AO101" s="46"/>
      <c r="AP101" s="46"/>
      <c r="AQ101" s="46"/>
      <c r="AT101" s="47"/>
      <c r="AU101" s="47"/>
      <c r="AV101" s="48"/>
      <c r="AW101" s="48"/>
      <c r="AX101" s="48"/>
      <c r="AY101" s="48"/>
      <c r="AZ101" s="48"/>
      <c r="BA101" s="48"/>
      <c r="BB101" s="48"/>
      <c r="BC101" s="48"/>
      <c r="BD101" s="49"/>
      <c r="BE101" s="47"/>
      <c r="BF101" s="47"/>
      <c r="BG101" s="47"/>
      <c r="BH101" s="50"/>
      <c r="BI101" s="47"/>
      <c r="BJ101" s="48"/>
      <c r="BK101" s="49"/>
      <c r="BL101" s="48"/>
      <c r="BM101" s="51"/>
      <c r="BN101" s="52"/>
    </row>
    <row r="102" spans="2:67" s="45" customFormat="1" x14ac:dyDescent="0.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4"/>
      <c r="AE102" s="44"/>
      <c r="AH102" s="46"/>
      <c r="AI102" s="46"/>
      <c r="AJ102" s="46"/>
      <c r="AK102" s="46"/>
      <c r="AL102" s="46"/>
      <c r="AM102" s="46"/>
      <c r="AN102" s="46"/>
      <c r="AO102" s="46"/>
      <c r="AP102" s="46"/>
      <c r="AQ102" s="46"/>
      <c r="AT102" s="47"/>
      <c r="AU102" s="47"/>
      <c r="AV102" s="48"/>
      <c r="AW102" s="48"/>
      <c r="AX102" s="48"/>
      <c r="AY102" s="48"/>
      <c r="AZ102" s="48"/>
      <c r="BA102" s="48"/>
      <c r="BB102" s="48"/>
      <c r="BC102" s="48"/>
      <c r="BD102" s="49"/>
      <c r="BE102" s="47"/>
      <c r="BF102" s="47"/>
      <c r="BG102" s="47"/>
      <c r="BH102" s="50"/>
      <c r="BI102" s="47"/>
      <c r="BJ102" s="48"/>
      <c r="BK102" s="49"/>
      <c r="BL102" s="48"/>
      <c r="BM102" s="51"/>
      <c r="BN102" s="52"/>
    </row>
    <row r="103" spans="2:67" s="45" customFormat="1" x14ac:dyDescent="0.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4"/>
      <c r="AE103" s="44"/>
      <c r="AH103" s="46"/>
      <c r="AI103" s="46"/>
      <c r="AJ103" s="46"/>
      <c r="AK103" s="46"/>
      <c r="AL103" s="46"/>
      <c r="AM103" s="46"/>
      <c r="AN103" s="46"/>
      <c r="AO103" s="46"/>
      <c r="AP103" s="46"/>
      <c r="AQ103" s="46"/>
      <c r="AT103" s="47"/>
      <c r="AU103" s="47"/>
      <c r="AV103" s="48"/>
      <c r="AW103" s="48"/>
      <c r="AX103" s="48"/>
      <c r="AY103" s="48"/>
      <c r="AZ103" s="48"/>
      <c r="BA103" s="48"/>
      <c r="BB103" s="48"/>
      <c r="BC103" s="48"/>
      <c r="BD103" s="49"/>
      <c r="BE103" s="47"/>
      <c r="BF103" s="47"/>
      <c r="BG103" s="47"/>
      <c r="BH103" s="50"/>
      <c r="BI103" s="47"/>
      <c r="BJ103" s="48"/>
      <c r="BK103" s="49"/>
      <c r="BL103" s="48"/>
      <c r="BM103" s="51"/>
      <c r="BN103" s="52"/>
    </row>
    <row r="104" spans="2:67" s="45" customFormat="1" x14ac:dyDescent="0.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4"/>
      <c r="AE104" s="44"/>
      <c r="AH104" s="46"/>
      <c r="AI104" s="46"/>
      <c r="AJ104" s="46"/>
      <c r="AK104" s="46"/>
      <c r="AL104" s="46"/>
      <c r="AM104" s="46"/>
      <c r="AN104" s="46"/>
      <c r="AO104" s="46"/>
      <c r="AP104" s="46"/>
      <c r="AQ104" s="46"/>
      <c r="AT104" s="47"/>
      <c r="AU104" s="47"/>
      <c r="AV104" s="48"/>
      <c r="AW104" s="48"/>
      <c r="AX104" s="48"/>
      <c r="AY104" s="48"/>
      <c r="AZ104" s="48"/>
      <c r="BA104" s="48"/>
      <c r="BB104" s="48"/>
      <c r="BC104" s="48"/>
      <c r="BD104" s="49"/>
      <c r="BE104" s="47"/>
      <c r="BF104" s="47"/>
      <c r="BG104" s="47"/>
      <c r="BH104" s="50"/>
      <c r="BI104" s="47"/>
      <c r="BJ104" s="48"/>
      <c r="BK104" s="49"/>
      <c r="BL104" s="48"/>
      <c r="BM104" s="51"/>
      <c r="BN104" s="52"/>
    </row>
    <row r="105" spans="2:67" s="45" customFormat="1" x14ac:dyDescent="0.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4"/>
      <c r="AE105" s="44"/>
      <c r="AH105" s="46"/>
      <c r="AI105" s="46"/>
      <c r="AJ105" s="46"/>
      <c r="AK105" s="46"/>
      <c r="AL105" s="46"/>
      <c r="AM105" s="46"/>
      <c r="AN105" s="46"/>
      <c r="AO105" s="46"/>
      <c r="AP105" s="46"/>
      <c r="AQ105" s="46"/>
      <c r="AT105" s="47"/>
      <c r="AU105" s="47"/>
      <c r="AV105" s="48"/>
      <c r="AW105" s="48"/>
      <c r="AX105" s="48"/>
      <c r="AY105" s="48"/>
      <c r="AZ105" s="48"/>
      <c r="BA105" s="48"/>
      <c r="BB105" s="48"/>
      <c r="BC105" s="48"/>
      <c r="BD105" s="49"/>
      <c r="BE105" s="47"/>
      <c r="BF105" s="47"/>
      <c r="BG105" s="47"/>
      <c r="BH105" s="50"/>
      <c r="BI105" s="47"/>
      <c r="BJ105" s="48"/>
      <c r="BK105" s="49"/>
      <c r="BL105" s="48"/>
      <c r="BM105" s="51"/>
      <c r="BN105" s="52"/>
    </row>
    <row r="106" spans="2:67" s="45" customFormat="1" x14ac:dyDescent="0.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4"/>
      <c r="AE106" s="44"/>
      <c r="AH106" s="46"/>
      <c r="AI106" s="46"/>
      <c r="AJ106" s="46"/>
      <c r="AK106" s="46"/>
      <c r="AL106" s="46"/>
      <c r="AM106" s="46"/>
      <c r="AN106" s="46"/>
      <c r="AO106" s="46"/>
      <c r="AP106" s="46"/>
      <c r="AQ106" s="46"/>
      <c r="AT106" s="47"/>
      <c r="AU106" s="47"/>
      <c r="AV106" s="48"/>
      <c r="AW106" s="48"/>
      <c r="AX106" s="48"/>
      <c r="AY106" s="48"/>
      <c r="AZ106" s="48"/>
      <c r="BA106" s="48"/>
      <c r="BB106" s="48"/>
      <c r="BC106" s="48"/>
      <c r="BD106" s="49"/>
      <c r="BE106" s="47"/>
      <c r="BF106" s="47"/>
      <c r="BG106" s="47"/>
      <c r="BH106" s="50"/>
      <c r="BI106" s="47"/>
      <c r="BJ106" s="48"/>
      <c r="BK106" s="49"/>
      <c r="BL106" s="48"/>
      <c r="BM106" s="51"/>
      <c r="BN106" s="52"/>
    </row>
    <row r="107" spans="2:67" s="45" customFormat="1" x14ac:dyDescent="0.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4"/>
      <c r="AE107" s="44"/>
      <c r="AH107" s="46"/>
      <c r="AI107" s="46"/>
      <c r="AJ107" s="46"/>
      <c r="AK107" s="46"/>
      <c r="AL107" s="46"/>
      <c r="AM107" s="46"/>
      <c r="AN107" s="46"/>
      <c r="AO107" s="46"/>
      <c r="AP107" s="46"/>
      <c r="AQ107" s="46"/>
      <c r="AT107" s="47"/>
      <c r="AU107" s="47"/>
      <c r="AV107" s="48"/>
      <c r="AW107" s="48"/>
      <c r="AX107" s="48"/>
      <c r="AY107" s="48"/>
      <c r="AZ107" s="48"/>
      <c r="BA107" s="48"/>
      <c r="BB107" s="48"/>
      <c r="BC107" s="48"/>
      <c r="BD107" s="49"/>
      <c r="BE107" s="47"/>
      <c r="BF107" s="47"/>
      <c r="BG107" s="47"/>
      <c r="BH107" s="50"/>
      <c r="BI107" s="47"/>
      <c r="BJ107" s="48"/>
      <c r="BK107" s="49"/>
      <c r="BL107" s="48"/>
      <c r="BM107" s="51"/>
      <c r="BN107" s="52"/>
    </row>
    <row r="108" spans="2:67" s="45" customFormat="1" x14ac:dyDescent="0.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4"/>
      <c r="AE108" s="44"/>
      <c r="AH108" s="46"/>
      <c r="AI108" s="46"/>
      <c r="AJ108" s="46"/>
      <c r="AK108" s="46"/>
      <c r="AL108" s="46"/>
      <c r="AM108" s="46"/>
      <c r="AN108" s="46"/>
      <c r="AO108" s="46"/>
      <c r="AP108" s="46"/>
      <c r="AQ108" s="46"/>
      <c r="AT108" s="47"/>
      <c r="AU108" s="47"/>
      <c r="AV108" s="48"/>
      <c r="AW108" s="48"/>
      <c r="AX108" s="48"/>
      <c r="AY108" s="48"/>
      <c r="AZ108" s="48"/>
      <c r="BA108" s="48"/>
      <c r="BB108" s="48"/>
      <c r="BC108" s="48"/>
      <c r="BD108" s="49"/>
      <c r="BE108" s="47"/>
      <c r="BF108" s="47"/>
      <c r="BG108" s="47"/>
      <c r="BH108" s="50"/>
      <c r="BI108" s="47"/>
      <c r="BJ108" s="48"/>
      <c r="BK108" s="49"/>
      <c r="BL108" s="48"/>
      <c r="BM108" s="51"/>
      <c r="BN108" s="52"/>
    </row>
    <row r="109" spans="2:67" x14ac:dyDescent="0.3">
      <c r="AS109" s="45"/>
      <c r="AT109" s="47"/>
      <c r="AU109" s="47"/>
      <c r="AV109" s="48"/>
      <c r="AW109" s="48"/>
      <c r="AX109" s="48"/>
      <c r="AY109" s="48"/>
      <c r="AZ109" s="48"/>
      <c r="BA109" s="48"/>
      <c r="BB109" s="48"/>
      <c r="BC109" s="48"/>
      <c r="BD109" s="49"/>
      <c r="BH109" s="50"/>
      <c r="BI109" s="47"/>
      <c r="BJ109" s="48"/>
      <c r="BK109" s="49"/>
      <c r="BL109" s="48"/>
      <c r="BM109" s="51"/>
      <c r="BN109" s="52"/>
      <c r="BO109" s="45"/>
    </row>
    <row r="110" spans="2:67" x14ac:dyDescent="0.3">
      <c r="AS110" s="45"/>
      <c r="AT110" s="47"/>
      <c r="AU110" s="47"/>
      <c r="AV110" s="48"/>
      <c r="AW110" s="48"/>
      <c r="AX110" s="48"/>
      <c r="AY110" s="48"/>
      <c r="AZ110" s="48"/>
      <c r="BA110" s="48"/>
      <c r="BB110" s="48"/>
      <c r="BC110" s="48"/>
      <c r="BD110" s="49"/>
      <c r="BH110" s="50"/>
      <c r="BI110" s="47"/>
      <c r="BJ110" s="48"/>
      <c r="BK110" s="49"/>
      <c r="BL110" s="48"/>
      <c r="BM110" s="51"/>
      <c r="BN110" s="52"/>
      <c r="BO110" s="45"/>
    </row>
    <row r="111" spans="2:67" x14ac:dyDescent="0.3">
      <c r="AS111" s="45"/>
      <c r="AT111" s="47"/>
      <c r="AU111" s="47"/>
      <c r="AV111" s="48"/>
      <c r="AW111" s="48"/>
      <c r="AX111" s="48"/>
      <c r="AY111" s="48"/>
      <c r="AZ111" s="48"/>
      <c r="BA111" s="48"/>
      <c r="BB111" s="48"/>
      <c r="BC111" s="48"/>
      <c r="BD111" s="49"/>
      <c r="BH111" s="50"/>
      <c r="BI111" s="47"/>
      <c r="BJ111" s="48"/>
      <c r="BK111" s="49"/>
      <c r="BL111" s="48"/>
      <c r="BM111" s="51"/>
      <c r="BN111" s="52"/>
      <c r="BO111" s="45"/>
    </row>
    <row r="112" spans="2:67" x14ac:dyDescent="0.3">
      <c r="AS112" s="45"/>
      <c r="AT112" s="47"/>
      <c r="AU112" s="47"/>
      <c r="AV112" s="48"/>
      <c r="AW112" s="48"/>
      <c r="AX112" s="48"/>
      <c r="AY112" s="48"/>
      <c r="AZ112" s="48"/>
      <c r="BA112" s="48"/>
      <c r="BB112" s="48"/>
      <c r="BC112" s="48"/>
      <c r="BD112" s="49"/>
      <c r="BH112" s="50"/>
      <c r="BI112" s="47"/>
      <c r="BJ112" s="48"/>
      <c r="BK112" s="49"/>
      <c r="BL112" s="48"/>
      <c r="BM112" s="51"/>
      <c r="BN112" s="52"/>
      <c r="BO112" s="45"/>
    </row>
    <row r="113" spans="45:67" x14ac:dyDescent="0.3">
      <c r="AS113" s="45"/>
      <c r="AT113" s="47"/>
      <c r="AU113" s="47"/>
      <c r="AV113" s="48"/>
      <c r="AW113" s="48"/>
      <c r="AX113" s="48"/>
      <c r="AY113" s="48"/>
      <c r="AZ113" s="48"/>
      <c r="BA113" s="48"/>
      <c r="BB113" s="48"/>
      <c r="BC113" s="48"/>
      <c r="BD113" s="49"/>
      <c r="BH113" s="50"/>
      <c r="BI113" s="47"/>
      <c r="BJ113" s="48"/>
      <c r="BK113" s="49"/>
      <c r="BL113" s="48"/>
      <c r="BM113" s="51"/>
      <c r="BN113" s="52"/>
      <c r="BO113" s="45"/>
    </row>
    <row r="114" spans="45:67" x14ac:dyDescent="0.3">
      <c r="AS114" s="45"/>
      <c r="AT114" s="47"/>
      <c r="AU114" s="47"/>
      <c r="AV114" s="48"/>
      <c r="AW114" s="48"/>
      <c r="AX114" s="48"/>
      <c r="AY114" s="48"/>
      <c r="AZ114" s="48"/>
      <c r="BA114" s="48"/>
      <c r="BB114" s="48"/>
      <c r="BC114" s="48"/>
      <c r="BD114" s="49"/>
      <c r="BH114" s="50"/>
      <c r="BI114" s="47"/>
      <c r="BJ114" s="48"/>
      <c r="BK114" s="49"/>
      <c r="BL114" s="48"/>
      <c r="BM114" s="51"/>
      <c r="BN114" s="52"/>
      <c r="BO114" s="45"/>
    </row>
    <row r="115" spans="45:67" x14ac:dyDescent="0.3">
      <c r="AS115" s="45"/>
      <c r="AT115" s="47"/>
      <c r="AU115" s="47"/>
      <c r="AV115" s="48"/>
      <c r="AW115" s="48"/>
      <c r="AX115" s="48"/>
      <c r="AY115" s="48"/>
      <c r="AZ115" s="48"/>
      <c r="BA115" s="48"/>
      <c r="BB115" s="48"/>
      <c r="BC115" s="48"/>
      <c r="BD115" s="49"/>
      <c r="BH115" s="50"/>
      <c r="BI115" s="47"/>
      <c r="BJ115" s="48"/>
      <c r="BK115" s="49"/>
      <c r="BL115" s="48"/>
      <c r="BM115" s="51"/>
      <c r="BN115" s="52"/>
      <c r="BO115" s="45"/>
    </row>
  </sheetData>
  <sheetProtection algorithmName="SHA-512" hashValue="SqE1pNkWw7OM5V2Vyfgfo+gwYsr6umiIirRu9YSXq3Z/5xvRF1x25clBaO8HCg5/IfaLUo+bkIHpSsU/3Y97Yg==" saltValue="f0P+ZD6F0r6Ht7GWcE9R7Q==" spinCount="100000" sheet="1" objects="1" scenarios="1" selectLockedCells="1"/>
  <mergeCells count="4">
    <mergeCell ref="AT16:AU16"/>
    <mergeCell ref="AW16:BC16"/>
    <mergeCell ref="AW17:BC17"/>
    <mergeCell ref="AT17:AU17"/>
  </mergeCells>
  <phoneticPr fontId="2" type="noConversion"/>
  <conditionalFormatting sqref="AT8:BD9">
    <cfRule type="expression" dxfId="40" priority="7">
      <formula>SUM($F$8:$F$11)=12</formula>
    </cfRule>
  </conditionalFormatting>
  <conditionalFormatting sqref="AT10:BD10">
    <cfRule type="expression" dxfId="26" priority="112">
      <formula>AND($AE$10,$F$80=18)</formula>
    </cfRule>
    <cfRule type="expression" dxfId="25" priority="113">
      <formula>$AE$10</formula>
    </cfRule>
  </conditionalFormatting>
  <hyperlinks>
    <hyperlink ref="BN2" location="'Index &amp; Summary'!A1" display="Index" xr:uid="{801EFEB4-68C4-471E-8EE3-BF3B0E6647B4}"/>
  </hyperlinks>
  <pageMargins left="0.7" right="0.7" top="0.75" bottom="0.75" header="0.3" footer="0.3"/>
  <pageSetup paperSize="9" orientation="portrait" horizontalDpi="360" verticalDpi="360" r:id="rId1"/>
  <ignoredErrors>
    <ignoredError xmlns:x16r3="http://schemas.microsoft.com/office/spreadsheetml/2018/08/main" sqref="BH7" x16r3:misleadingFormat="1"/>
  </ignoredErrors>
  <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7B912-F53B-4D79-80D3-4481354BD54F}">
  <dimension ref="A2:Y17"/>
  <sheetViews>
    <sheetView showRowColHeaders="0" zoomScale="85" zoomScaleNormal="85" workbookViewId="0">
      <pane xSplit="35" ySplit="44" topLeftCell="AJ45" activePane="bottomRight" state="frozenSplit"/>
      <selection pane="topRight" activeCell="AJ1" sqref="AJ1"/>
      <selection pane="bottomLeft" activeCell="A45" sqref="A45"/>
      <selection pane="bottomRight" activeCell="W2" sqref="W2"/>
    </sheetView>
  </sheetViews>
  <sheetFormatPr defaultRowHeight="15" x14ac:dyDescent="0.25"/>
  <cols>
    <col min="1" max="1" width="2.85546875" style="53" customWidth="1"/>
    <col min="2" max="2" width="2.140625" style="53" customWidth="1"/>
    <col min="3" max="3" width="6.7109375" style="53" customWidth="1"/>
    <col min="4" max="4" width="21.5703125" style="53" customWidth="1"/>
    <col min="5" max="12" width="4.28515625" style="53" customWidth="1"/>
    <col min="13" max="13" width="25.42578125" style="53" customWidth="1"/>
    <col min="14" max="14" width="2.140625" style="53" customWidth="1"/>
    <col min="15" max="15" width="3.85546875" style="53" customWidth="1"/>
    <col min="16" max="16" width="2.140625" style="53" customWidth="1"/>
    <col min="17" max="17" width="22.85546875" style="53" customWidth="1"/>
    <col min="18" max="18" width="19.7109375" style="53" customWidth="1"/>
    <col min="19" max="19" width="7.140625" style="53" customWidth="1"/>
    <col min="20" max="20" width="2.42578125" style="53" bestFit="1" customWidth="1"/>
    <col min="21" max="21" width="7.140625" style="53" customWidth="1"/>
    <col min="22" max="22" width="19.7109375" style="53" customWidth="1"/>
    <col min="23" max="23" width="22.85546875" style="53" customWidth="1"/>
    <col min="24" max="24" width="2.140625" style="53" customWidth="1"/>
    <col min="25" max="43" width="9.140625" style="53"/>
    <col min="44" max="44" width="2.85546875" style="53" customWidth="1"/>
    <col min="45" max="45" width="2.140625" style="53" customWidth="1"/>
    <col min="46" max="46" width="9.140625" style="53"/>
    <col min="47" max="47" width="21.5703125" style="53" customWidth="1"/>
    <col min="48" max="55" width="4.28515625" style="53" customWidth="1"/>
    <col min="56" max="56" width="9.140625" style="53"/>
    <col min="57" max="57" width="2.140625" style="53" customWidth="1"/>
    <col min="58" max="58" width="9.140625" style="53"/>
    <col min="59" max="59" width="2.140625" style="53" customWidth="1"/>
    <col min="60" max="61" width="9.140625" style="53"/>
    <col min="62" max="62" width="7.140625" style="53" customWidth="1"/>
    <col min="63" max="63" width="9.140625" style="53"/>
    <col min="64" max="64" width="7.140625" style="53" customWidth="1"/>
    <col min="65" max="66" width="9.140625" style="53"/>
    <col min="67" max="67" width="2.140625" style="53" customWidth="1"/>
    <col min="68" max="16384" width="9.140625" style="53"/>
  </cols>
  <sheetData>
    <row r="2" spans="1:25" ht="15" customHeight="1" x14ac:dyDescent="0.3">
      <c r="A2" s="45"/>
      <c r="B2" s="45"/>
      <c r="C2" s="48"/>
      <c r="D2" s="48"/>
      <c r="E2" s="48"/>
      <c r="F2" s="48"/>
      <c r="G2" s="48"/>
      <c r="H2" s="48"/>
      <c r="I2" s="48"/>
      <c r="J2" s="48"/>
      <c r="K2" s="48"/>
      <c r="L2" s="48"/>
      <c r="M2" s="49"/>
      <c r="N2" s="47"/>
      <c r="O2" s="47"/>
      <c r="P2" s="47"/>
      <c r="Q2" s="50"/>
      <c r="R2" s="47"/>
      <c r="S2" s="48"/>
      <c r="T2" s="49"/>
      <c r="U2" s="48"/>
      <c r="V2" s="51"/>
      <c r="W2" s="104" t="s">
        <v>504</v>
      </c>
      <c r="X2" s="45"/>
    </row>
    <row r="3" spans="1:25" ht="15" customHeight="1" x14ac:dyDescent="0.3">
      <c r="B3" s="45"/>
      <c r="C3" s="47"/>
      <c r="D3" s="47"/>
      <c r="E3" s="48"/>
      <c r="F3" s="48"/>
      <c r="G3" s="48"/>
      <c r="H3" s="48"/>
      <c r="I3" s="48"/>
      <c r="J3" s="48"/>
      <c r="K3" s="48"/>
      <c r="L3" s="48"/>
      <c r="M3" s="49"/>
      <c r="N3" s="47"/>
      <c r="O3" s="47"/>
      <c r="P3" s="47"/>
      <c r="Q3" s="50"/>
      <c r="R3" s="47"/>
      <c r="S3" s="48"/>
      <c r="T3" s="49"/>
      <c r="U3" s="48"/>
      <c r="V3" s="51"/>
      <c r="W3" s="52"/>
      <c r="X3" s="45"/>
      <c r="Y3" s="45"/>
    </row>
    <row r="4" spans="1:25" ht="16.5" x14ac:dyDescent="0.3">
      <c r="B4" s="45"/>
      <c r="C4" s="47"/>
      <c r="D4" s="47"/>
      <c r="E4" s="48"/>
      <c r="F4" s="48"/>
      <c r="G4" s="48"/>
      <c r="H4" s="48"/>
      <c r="I4" s="48"/>
      <c r="J4" s="48"/>
      <c r="K4" s="48"/>
      <c r="L4" s="48"/>
      <c r="M4" s="49"/>
      <c r="N4" s="47"/>
      <c r="O4" s="47"/>
      <c r="P4" s="47"/>
      <c r="Q4" s="50"/>
      <c r="R4" s="47"/>
      <c r="S4" s="48"/>
      <c r="T4" s="49"/>
      <c r="U4" s="48"/>
      <c r="V4" s="51"/>
      <c r="W4" s="52"/>
      <c r="X4" s="45"/>
      <c r="Y4" s="45"/>
    </row>
    <row r="5" spans="1:25" ht="16.5" x14ac:dyDescent="0.3">
      <c r="B5" s="45"/>
      <c r="C5" s="47"/>
      <c r="D5" s="47"/>
      <c r="E5" s="48"/>
      <c r="F5" s="48"/>
      <c r="G5" s="48"/>
      <c r="H5" s="48"/>
      <c r="I5" s="48"/>
      <c r="J5" s="48"/>
      <c r="K5" s="48"/>
      <c r="L5" s="48"/>
      <c r="M5" s="49"/>
      <c r="N5" s="47"/>
      <c r="O5" s="47"/>
      <c r="P5" s="47"/>
      <c r="Q5" s="50"/>
      <c r="R5" s="47"/>
      <c r="S5" s="48"/>
      <c r="T5" s="49"/>
      <c r="U5" s="48"/>
      <c r="V5" s="51"/>
      <c r="W5" s="52"/>
      <c r="X5" s="45"/>
      <c r="Y5" s="45"/>
    </row>
    <row r="6" spans="1:25" ht="16.5" x14ac:dyDescent="0.3">
      <c r="B6" s="42"/>
      <c r="C6" s="36"/>
      <c r="D6" s="36"/>
      <c r="E6" s="37"/>
      <c r="F6" s="37"/>
      <c r="G6" s="37"/>
      <c r="H6" s="37"/>
      <c r="I6" s="37"/>
      <c r="J6" s="37"/>
      <c r="K6" s="37"/>
      <c r="L6" s="37"/>
      <c r="M6" s="38"/>
      <c r="N6" s="36"/>
      <c r="O6" s="47"/>
      <c r="P6" s="36"/>
      <c r="Q6" s="39"/>
      <c r="R6" s="36"/>
      <c r="S6" s="37"/>
      <c r="T6" s="38"/>
      <c r="U6" s="37"/>
      <c r="V6" s="40"/>
      <c r="W6" s="41"/>
      <c r="X6" s="42"/>
      <c r="Y6" s="45"/>
    </row>
    <row r="7" spans="1:25" ht="17.25" x14ac:dyDescent="0.3">
      <c r="B7" s="42"/>
      <c r="C7" s="157" t="s">
        <v>338</v>
      </c>
      <c r="D7" s="158" t="s">
        <v>24</v>
      </c>
      <c r="E7" s="157" t="s">
        <v>54</v>
      </c>
      <c r="F7" s="157" t="s">
        <v>55</v>
      </c>
      <c r="G7" s="157" t="s">
        <v>34</v>
      </c>
      <c r="H7" s="157" t="s">
        <v>29</v>
      </c>
      <c r="I7" s="157" t="s">
        <v>56</v>
      </c>
      <c r="J7" s="157" t="s">
        <v>57</v>
      </c>
      <c r="K7" s="157" t="s">
        <v>329</v>
      </c>
      <c r="L7" s="157" t="s">
        <v>59</v>
      </c>
      <c r="M7" s="157" t="s">
        <v>524</v>
      </c>
      <c r="N7" s="36"/>
      <c r="O7" s="47"/>
      <c r="P7" s="36"/>
      <c r="Q7" s="89" t="str">
        <f t="array" ref="Q7:S12">'Group A'!AI19:AK24</f>
        <v>Sat 12 Jun 17:00 (BBC)</v>
      </c>
      <c r="R7" s="68" t="str">
        <v>Denmark</v>
      </c>
      <c r="S7" s="69" t="str">
        <v/>
      </c>
      <c r="T7" s="70" t="str">
        <f t="array" ref="T7:T12">'Group A'!AQ19:AQ24</f>
        <v xml:space="preserve"> - </v>
      </c>
      <c r="U7" s="69" t="str">
        <f t="array" ref="U7:W12">'Group A'!AN19:AP24</f>
        <v/>
      </c>
      <c r="V7" s="71" t="str">
        <v>Finland</v>
      </c>
      <c r="W7" s="72" t="str">
        <v>Parken Stadium (DEN)</v>
      </c>
      <c r="X7" s="42"/>
      <c r="Y7" s="45"/>
    </row>
    <row r="8" spans="1:25" ht="17.25" x14ac:dyDescent="0.3">
      <c r="B8" s="42"/>
      <c r="C8" s="60">
        <f t="array" ref="C8:L11">'Group A'!D19:M22</f>
        <v>1</v>
      </c>
      <c r="D8" s="61" t="str">
        <f ca="1"/>
        <v>Belgium</v>
      </c>
      <c r="E8" s="62">
        <f ca="1"/>
        <v>0</v>
      </c>
      <c r="F8" s="62">
        <f ca="1"/>
        <v>0</v>
      </c>
      <c r="G8" s="62">
        <f ca="1"/>
        <v>0</v>
      </c>
      <c r="H8" s="62">
        <f ca="1"/>
        <v>0</v>
      </c>
      <c r="I8" s="62">
        <f ca="1"/>
        <v>0</v>
      </c>
      <c r="J8" s="62">
        <f ca="1"/>
        <v>0</v>
      </c>
      <c r="K8" s="62">
        <f ca="1"/>
        <v>0</v>
      </c>
      <c r="L8" s="63">
        <f ca="1"/>
        <v>0</v>
      </c>
      <c r="M8" s="91" t="str">
        <f t="array" aca="1" ref="M8:M11" ca="1">'Group A'!AD19:AD22</f>
        <v>Euro Qualifier Rank</v>
      </c>
      <c r="N8" s="36"/>
      <c r="O8" s="47"/>
      <c r="P8" s="36"/>
      <c r="Q8" s="90" t="str">
        <v>Sat 12 Jun 20:00 (iTV)</v>
      </c>
      <c r="R8" s="73" t="str">
        <v>Belgium</v>
      </c>
      <c r="S8" s="74" t="str">
        <v/>
      </c>
      <c r="T8" s="75" t="str">
        <v xml:space="preserve"> - </v>
      </c>
      <c r="U8" s="74" t="str">
        <v/>
      </c>
      <c r="V8" s="76" t="str">
        <v>Russia</v>
      </c>
      <c r="W8" s="77" t="str">
        <v>Krestovsky Stadium (RUS)</v>
      </c>
      <c r="X8" s="42"/>
      <c r="Y8" s="45"/>
    </row>
    <row r="9" spans="1:25" ht="17.25" x14ac:dyDescent="0.3">
      <c r="B9" s="42"/>
      <c r="C9" s="60">
        <v>2</v>
      </c>
      <c r="D9" s="61" t="str">
        <f ca="1"/>
        <v>Russia</v>
      </c>
      <c r="E9" s="62">
        <f ca="1"/>
        <v>0</v>
      </c>
      <c r="F9" s="62">
        <f ca="1"/>
        <v>0</v>
      </c>
      <c r="G9" s="62">
        <f ca="1"/>
        <v>0</v>
      </c>
      <c r="H9" s="62">
        <f ca="1"/>
        <v>0</v>
      </c>
      <c r="I9" s="62">
        <f ca="1"/>
        <v>0</v>
      </c>
      <c r="J9" s="62">
        <f ca="1"/>
        <v>0</v>
      </c>
      <c r="K9" s="62">
        <f ca="1"/>
        <v>0</v>
      </c>
      <c r="L9" s="63">
        <f ca="1"/>
        <v>0</v>
      </c>
      <c r="M9" s="91" t="str">
        <f ca="1"/>
        <v>Euro Qualifier Rank</v>
      </c>
      <c r="N9" s="36"/>
      <c r="O9" s="47"/>
      <c r="P9" s="36"/>
      <c r="Q9" s="89" t="str">
        <v>Wed 16 Jun 14:00 (BBC)</v>
      </c>
      <c r="R9" s="68" t="str">
        <v>Finland</v>
      </c>
      <c r="S9" s="69" t="str">
        <v/>
      </c>
      <c r="T9" s="70" t="str">
        <v xml:space="preserve"> - </v>
      </c>
      <c r="U9" s="69" t="str">
        <v/>
      </c>
      <c r="V9" s="71" t="str">
        <v>Russia</v>
      </c>
      <c r="W9" s="72" t="str">
        <v>Krestovsky Stadium (RUS)</v>
      </c>
      <c r="X9" s="42"/>
      <c r="Y9" s="45"/>
    </row>
    <row r="10" spans="1:25" ht="17.25" x14ac:dyDescent="0.3">
      <c r="B10" s="42"/>
      <c r="C10" s="64">
        <v>3</v>
      </c>
      <c r="D10" s="65" t="str">
        <f ca="1"/>
        <v>Denmark</v>
      </c>
      <c r="E10" s="66">
        <f ca="1"/>
        <v>0</v>
      </c>
      <c r="F10" s="66">
        <f ca="1"/>
        <v>0</v>
      </c>
      <c r="G10" s="66">
        <f ca="1"/>
        <v>0</v>
      </c>
      <c r="H10" s="66">
        <f ca="1"/>
        <v>0</v>
      </c>
      <c r="I10" s="66">
        <f ca="1"/>
        <v>0</v>
      </c>
      <c r="J10" s="66">
        <f ca="1"/>
        <v>0</v>
      </c>
      <c r="K10" s="66">
        <f ca="1"/>
        <v>0</v>
      </c>
      <c r="L10" s="67">
        <f ca="1"/>
        <v>0</v>
      </c>
      <c r="M10" s="92" t="str">
        <f ca="1"/>
        <v>Euro Qualifier Rank</v>
      </c>
      <c r="N10" s="36"/>
      <c r="O10" s="47"/>
      <c r="P10" s="36"/>
      <c r="Q10" s="90" t="str">
        <v>Thu 17 Jun 17:00 (iTV)</v>
      </c>
      <c r="R10" s="73" t="str">
        <v>Denmark</v>
      </c>
      <c r="S10" s="74" t="str">
        <v/>
      </c>
      <c r="T10" s="75" t="str">
        <v xml:space="preserve"> - </v>
      </c>
      <c r="U10" s="74" t="str">
        <v/>
      </c>
      <c r="V10" s="76" t="str">
        <v>Belgium</v>
      </c>
      <c r="W10" s="77" t="str">
        <v>Parken Stadium (DEN)</v>
      </c>
      <c r="X10" s="42"/>
      <c r="Y10" s="45"/>
    </row>
    <row r="11" spans="1:25" ht="17.25" x14ac:dyDescent="0.3">
      <c r="B11" s="42"/>
      <c r="C11" s="64">
        <v>4</v>
      </c>
      <c r="D11" s="65" t="str">
        <f ca="1"/>
        <v>Finland</v>
      </c>
      <c r="E11" s="66">
        <f ca="1"/>
        <v>0</v>
      </c>
      <c r="F11" s="66">
        <f ca="1"/>
        <v>0</v>
      </c>
      <c r="G11" s="66">
        <f ca="1"/>
        <v>0</v>
      </c>
      <c r="H11" s="66">
        <f ca="1"/>
        <v>0</v>
      </c>
      <c r="I11" s="66">
        <f ca="1"/>
        <v>0</v>
      </c>
      <c r="J11" s="66">
        <f ca="1"/>
        <v>0</v>
      </c>
      <c r="K11" s="66">
        <f ca="1"/>
        <v>0</v>
      </c>
      <c r="L11" s="67">
        <f ca="1"/>
        <v>0</v>
      </c>
      <c r="M11" s="92" t="str">
        <f ca="1"/>
        <v>Euro Qualifier Rank</v>
      </c>
      <c r="N11" s="36"/>
      <c r="O11" s="47"/>
      <c r="P11" s="36"/>
      <c r="Q11" s="89" t="str">
        <v>Mon 21 Jun 20:00 (BBC)</v>
      </c>
      <c r="R11" s="68" t="str">
        <v>Finland</v>
      </c>
      <c r="S11" s="69" t="str">
        <v/>
      </c>
      <c r="T11" s="70" t="str">
        <v xml:space="preserve"> - </v>
      </c>
      <c r="U11" s="69" t="str">
        <v/>
      </c>
      <c r="V11" s="71" t="str">
        <v>Belgium</v>
      </c>
      <c r="W11" s="72" t="str">
        <v>Parken Stadium (DEN)</v>
      </c>
      <c r="X11" s="42"/>
      <c r="Y11" s="45"/>
    </row>
    <row r="12" spans="1:25" ht="17.25" x14ac:dyDescent="0.3">
      <c r="B12" s="42"/>
      <c r="C12" s="36"/>
      <c r="D12" s="36"/>
      <c r="E12" s="37"/>
      <c r="F12" s="37"/>
      <c r="G12" s="37"/>
      <c r="H12" s="37"/>
      <c r="I12" s="37"/>
      <c r="J12" s="37"/>
      <c r="K12" s="37"/>
      <c r="L12" s="37"/>
      <c r="M12" s="38"/>
      <c r="N12" s="36"/>
      <c r="O12" s="47"/>
      <c r="P12" s="36"/>
      <c r="Q12" s="90" t="str">
        <v>Mon 21 Jun 20:00 (BBC)</v>
      </c>
      <c r="R12" s="73" t="str">
        <v>Russia</v>
      </c>
      <c r="S12" s="74" t="str">
        <v/>
      </c>
      <c r="T12" s="75" t="str">
        <v xml:space="preserve"> - </v>
      </c>
      <c r="U12" s="74" t="str">
        <v/>
      </c>
      <c r="V12" s="76" t="str">
        <v>Denmark</v>
      </c>
      <c r="W12" s="77" t="str">
        <v>Krestovsky Stadium (RUS)</v>
      </c>
      <c r="X12" s="42"/>
      <c r="Y12" s="45"/>
    </row>
    <row r="13" spans="1:25" ht="16.5" x14ac:dyDescent="0.3">
      <c r="B13" s="42"/>
      <c r="C13" s="36"/>
      <c r="D13" s="36"/>
      <c r="E13" s="37"/>
      <c r="F13" s="37"/>
      <c r="G13" s="37"/>
      <c r="H13" s="37"/>
      <c r="I13" s="37"/>
      <c r="J13" s="37"/>
      <c r="K13" s="37"/>
      <c r="L13" s="37"/>
      <c r="M13" s="38"/>
      <c r="N13" s="36"/>
      <c r="O13" s="47"/>
      <c r="P13" s="36"/>
      <c r="Q13" s="39"/>
      <c r="R13" s="36"/>
      <c r="S13" s="37"/>
      <c r="T13" s="38"/>
      <c r="U13" s="37"/>
      <c r="V13" s="40"/>
      <c r="W13" s="41"/>
      <c r="X13" s="42"/>
      <c r="Y13" s="45"/>
    </row>
    <row r="14" spans="1:25" ht="16.5" x14ac:dyDescent="0.3">
      <c r="B14" s="45"/>
      <c r="C14" s="47"/>
      <c r="D14" s="47"/>
      <c r="E14" s="48"/>
      <c r="F14" s="48"/>
      <c r="G14" s="48"/>
      <c r="H14" s="48"/>
      <c r="I14" s="48"/>
      <c r="J14" s="48"/>
      <c r="K14" s="48"/>
      <c r="L14" s="48"/>
      <c r="M14" s="49"/>
      <c r="N14" s="47"/>
      <c r="O14" s="47"/>
      <c r="P14" s="47"/>
      <c r="Q14" s="50"/>
      <c r="R14" s="47"/>
      <c r="S14" s="48"/>
      <c r="T14" s="49"/>
      <c r="U14" s="48"/>
      <c r="V14" s="51"/>
      <c r="W14" s="52"/>
      <c r="X14" s="45"/>
      <c r="Y14" s="45"/>
    </row>
    <row r="16" spans="1:25" ht="16.5" x14ac:dyDescent="0.25">
      <c r="C16" s="31" t="s">
        <v>428</v>
      </c>
      <c r="D16" s="32"/>
      <c r="E16" s="48"/>
      <c r="F16" s="30" t="s">
        <v>439</v>
      </c>
      <c r="G16" s="30"/>
      <c r="H16" s="30"/>
      <c r="I16" s="30"/>
      <c r="J16" s="30"/>
      <c r="K16" s="30"/>
      <c r="L16" s="30"/>
    </row>
    <row r="17" spans="3:12" ht="16.5" x14ac:dyDescent="0.25">
      <c r="C17" s="33" t="s">
        <v>429</v>
      </c>
      <c r="D17" s="34"/>
      <c r="E17" s="48"/>
      <c r="F17" s="35" t="s">
        <v>440</v>
      </c>
      <c r="G17" s="35"/>
      <c r="H17" s="35"/>
      <c r="I17" s="35"/>
      <c r="J17" s="35"/>
      <c r="K17" s="35"/>
      <c r="L17" s="35"/>
    </row>
  </sheetData>
  <sheetProtection algorithmName="SHA-512" hashValue="uCcJo/WzgYIV3M84XDe7aduOrASECkiRJU3yF9J9jExo9rbsvthGD3bNfu4dVLm05qKGadLiamlyEYcj74Fm+g==" saltValue="KLcaHi73fRGTgHY+Z7MYDw==" spinCount="100000" sheet="1" objects="1" scenarios="1" selectLockedCells="1"/>
  <mergeCells count="4">
    <mergeCell ref="C16:D16"/>
    <mergeCell ref="C17:D17"/>
    <mergeCell ref="F16:L16"/>
    <mergeCell ref="F17:L17"/>
  </mergeCells>
  <hyperlinks>
    <hyperlink ref="W2" location="'Index &amp; Summary'!A1" display="Index" xr:uid="{2B79A0C8-9F39-45DB-81B3-CCBD56BC6D4B}"/>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3" id="{2C51F400-E2B4-4645-A6D9-40C2665E1F27}">
            <xm:f>SUM('Group A'!$F$19:$F$22)=12</xm:f>
            <x14:dxf>
              <font>
                <color theme="0"/>
              </font>
              <fill>
                <patternFill>
                  <bgColor theme="9" tint="-0.24994659260841701"/>
                </patternFill>
              </fill>
            </x14:dxf>
          </x14:cfRule>
          <xm:sqref>C8:M9</xm:sqref>
        </x14:conditionalFormatting>
        <x14:conditionalFormatting xmlns:xm="http://schemas.microsoft.com/office/excel/2006/main">
          <x14:cfRule type="expression" priority="1" id="{A8FE8851-F4C4-4D8C-8452-179ABD3D7610}">
            <xm:f>AND('Group A'!$AE$21,'Group A'!$F$80=18)</xm:f>
            <x14:dxf>
              <font>
                <color theme="0"/>
              </font>
              <fill>
                <patternFill>
                  <bgColor theme="4" tint="-0.24994659260841701"/>
                </patternFill>
              </fill>
            </x14:dxf>
          </x14:cfRule>
          <x14:cfRule type="expression" priority="2" id="{8B6E7668-5464-430F-A407-B95F5F379324}">
            <xm:f>'Group A'!$AE$21</xm:f>
            <x14:dxf>
              <fill>
                <patternFill>
                  <bgColor theme="8" tint="0.79998168889431442"/>
                </patternFill>
              </fill>
            </x14:dxf>
          </x14:cfRule>
          <xm:sqref>C10:M10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B81D8-1570-4F37-9ADA-201A2D0DAFC4}">
  <dimension ref="B2:Y17"/>
  <sheetViews>
    <sheetView showRowColHeaders="0" zoomScale="85" zoomScaleNormal="85" workbookViewId="0">
      <pane xSplit="35" ySplit="44" topLeftCell="AJ45" activePane="bottomRight" state="frozenSplit"/>
      <selection pane="topRight" activeCell="AJ1" sqref="AJ1"/>
      <selection pane="bottomLeft" activeCell="A45" sqref="A45"/>
      <selection pane="bottomRight" activeCell="W2" sqref="W2"/>
    </sheetView>
  </sheetViews>
  <sheetFormatPr defaultRowHeight="15" x14ac:dyDescent="0.25"/>
  <cols>
    <col min="1" max="1" width="2.85546875" style="53" customWidth="1"/>
    <col min="2" max="2" width="2.140625" style="53" customWidth="1"/>
    <col min="3" max="3" width="6.7109375" style="53" customWidth="1"/>
    <col min="4" max="4" width="21.42578125" style="53" customWidth="1"/>
    <col min="5" max="12" width="4.28515625" style="53" customWidth="1"/>
    <col min="13" max="13" width="25.42578125" style="53" customWidth="1"/>
    <col min="14" max="14" width="2.140625" style="53" customWidth="1"/>
    <col min="15" max="15" width="3.85546875" style="53" customWidth="1"/>
    <col min="16" max="16" width="2.140625" style="53" customWidth="1"/>
    <col min="17" max="17" width="22.85546875" style="53" customWidth="1"/>
    <col min="18" max="18" width="19.7109375" style="53" customWidth="1"/>
    <col min="19" max="19" width="7.140625" style="53" customWidth="1"/>
    <col min="20" max="20" width="2.42578125" style="53" bestFit="1" customWidth="1"/>
    <col min="21" max="21" width="7.140625" style="53" customWidth="1"/>
    <col min="22" max="22" width="19.7109375" style="53" customWidth="1"/>
    <col min="23" max="23" width="22.85546875" style="53" customWidth="1"/>
    <col min="24" max="24" width="2.140625" style="53" customWidth="1"/>
    <col min="25" max="16384" width="9.140625" style="53"/>
  </cols>
  <sheetData>
    <row r="2" spans="2:25" x14ac:dyDescent="0.25">
      <c r="W2" s="104" t="s">
        <v>504</v>
      </c>
    </row>
    <row r="4" spans="2:25" ht="16.5" x14ac:dyDescent="0.3">
      <c r="B4" s="45"/>
      <c r="C4" s="47"/>
      <c r="D4" s="47"/>
      <c r="E4" s="48"/>
      <c r="F4" s="48"/>
      <c r="G4" s="48"/>
      <c r="H4" s="48"/>
      <c r="I4" s="48"/>
      <c r="J4" s="48"/>
      <c r="K4" s="48"/>
      <c r="L4" s="48"/>
      <c r="M4" s="49"/>
      <c r="N4" s="47"/>
      <c r="O4" s="47"/>
      <c r="P4" s="47"/>
      <c r="Q4" s="50"/>
      <c r="R4" s="47"/>
      <c r="S4" s="48"/>
      <c r="T4" s="49"/>
      <c r="U4" s="48"/>
      <c r="V4" s="51"/>
      <c r="W4" s="52"/>
      <c r="X4" s="45"/>
      <c r="Y4" s="45"/>
    </row>
    <row r="5" spans="2:25" ht="16.5" x14ac:dyDescent="0.3">
      <c r="B5" s="45"/>
      <c r="C5" s="47"/>
      <c r="D5" s="47"/>
      <c r="E5" s="48"/>
      <c r="F5" s="48"/>
      <c r="G5" s="48"/>
      <c r="H5" s="48"/>
      <c r="I5" s="48"/>
      <c r="J5" s="48"/>
      <c r="K5" s="48"/>
      <c r="L5" s="48"/>
      <c r="M5" s="49"/>
      <c r="N5" s="47"/>
      <c r="O5" s="47"/>
      <c r="P5" s="47"/>
      <c r="Q5" s="50"/>
      <c r="R5" s="47"/>
      <c r="S5" s="48"/>
      <c r="T5" s="49"/>
      <c r="U5" s="48"/>
      <c r="V5" s="51"/>
      <c r="W5" s="52"/>
      <c r="X5" s="45"/>
      <c r="Y5" s="45"/>
    </row>
    <row r="6" spans="2:25" ht="16.5" x14ac:dyDescent="0.3">
      <c r="B6" s="42"/>
      <c r="C6" s="36"/>
      <c r="D6" s="36"/>
      <c r="E6" s="37"/>
      <c r="F6" s="37"/>
      <c r="G6" s="37"/>
      <c r="H6" s="37"/>
      <c r="I6" s="37"/>
      <c r="J6" s="37"/>
      <c r="K6" s="37"/>
      <c r="L6" s="37"/>
      <c r="M6" s="38"/>
      <c r="N6" s="36"/>
      <c r="O6" s="47"/>
      <c r="P6" s="36"/>
      <c r="Q6" s="39"/>
      <c r="R6" s="36"/>
      <c r="S6" s="37"/>
      <c r="T6" s="38"/>
      <c r="U6" s="37"/>
      <c r="V6" s="40"/>
      <c r="W6" s="41"/>
      <c r="X6" s="42"/>
      <c r="Y6" s="45"/>
    </row>
    <row r="7" spans="2:25" ht="17.25" x14ac:dyDescent="0.3">
      <c r="B7" s="42"/>
      <c r="C7" s="157" t="s">
        <v>338</v>
      </c>
      <c r="D7" s="158" t="s">
        <v>24</v>
      </c>
      <c r="E7" s="157" t="s">
        <v>54</v>
      </c>
      <c r="F7" s="157" t="s">
        <v>55</v>
      </c>
      <c r="G7" s="157" t="s">
        <v>34</v>
      </c>
      <c r="H7" s="157" t="s">
        <v>29</v>
      </c>
      <c r="I7" s="157" t="s">
        <v>56</v>
      </c>
      <c r="J7" s="157" t="s">
        <v>57</v>
      </c>
      <c r="K7" s="157" t="s">
        <v>329</v>
      </c>
      <c r="L7" s="157" t="s">
        <v>59</v>
      </c>
      <c r="M7" s="157" t="s">
        <v>524</v>
      </c>
      <c r="N7" s="36"/>
      <c r="O7" s="47"/>
      <c r="P7" s="36"/>
      <c r="Q7" s="89" t="str">
        <f t="array" ref="Q7:S12">'Group A'!AI30:AK35</f>
        <v>Sun 13 Jun 17:00 (iTV)</v>
      </c>
      <c r="R7" s="68" t="str">
        <v>Austria</v>
      </c>
      <c r="S7" s="69" t="str">
        <v/>
      </c>
      <c r="T7" s="70" t="str">
        <f t="array" ref="T7:T12">'Group A'!AQ30:AQ35</f>
        <v xml:space="preserve"> - </v>
      </c>
      <c r="U7" s="69" t="str">
        <f t="array" ref="U7:W12">'Group A'!AN30:AP35</f>
        <v/>
      </c>
      <c r="V7" s="71" t="str">
        <v>North Macedonia</v>
      </c>
      <c r="W7" s="72" t="str">
        <v>Arean Nationala (ROM)</v>
      </c>
      <c r="X7" s="42"/>
      <c r="Y7" s="45"/>
    </row>
    <row r="8" spans="2:25" ht="17.25" x14ac:dyDescent="0.3">
      <c r="B8" s="42"/>
      <c r="C8" s="60">
        <f t="array" ref="C8:L11">'Group A'!D30:M33</f>
        <v>1</v>
      </c>
      <c r="D8" s="61" t="str">
        <f ca="1"/>
        <v>Ukraine</v>
      </c>
      <c r="E8" s="62">
        <f ca="1"/>
        <v>0</v>
      </c>
      <c r="F8" s="62">
        <f ca="1"/>
        <v>0</v>
      </c>
      <c r="G8" s="62">
        <f ca="1"/>
        <v>0</v>
      </c>
      <c r="H8" s="62">
        <f ca="1"/>
        <v>0</v>
      </c>
      <c r="I8" s="62">
        <f ca="1"/>
        <v>0</v>
      </c>
      <c r="J8" s="62">
        <f ca="1"/>
        <v>0</v>
      </c>
      <c r="K8" s="62">
        <f ca="1"/>
        <v>0</v>
      </c>
      <c r="L8" s="63">
        <f ca="1"/>
        <v>0</v>
      </c>
      <c r="M8" s="91" t="str">
        <f t="array" aca="1" ref="M8:M11" ca="1">'Group A'!AD30:AD33</f>
        <v>Euro Qualifier Rank</v>
      </c>
      <c r="N8" s="36"/>
      <c r="O8" s="47"/>
      <c r="P8" s="36"/>
      <c r="Q8" s="90" t="str">
        <v>Sun 13 Jun 20:00 (iTV)</v>
      </c>
      <c r="R8" s="73" t="str">
        <v>Netherlands</v>
      </c>
      <c r="S8" s="74" t="str">
        <v/>
      </c>
      <c r="T8" s="75" t="str">
        <v xml:space="preserve"> - </v>
      </c>
      <c r="U8" s="74" t="str">
        <v/>
      </c>
      <c r="V8" s="76" t="str">
        <v>Ukraine</v>
      </c>
      <c r="W8" s="77" t="str">
        <v>Johan Cruyff Arena (NET)</v>
      </c>
      <c r="X8" s="42"/>
      <c r="Y8" s="45"/>
    </row>
    <row r="9" spans="2:25" ht="17.25" x14ac:dyDescent="0.3">
      <c r="B9" s="42"/>
      <c r="C9" s="60">
        <v>2</v>
      </c>
      <c r="D9" s="61" t="str">
        <f ca="1"/>
        <v>Netherlands</v>
      </c>
      <c r="E9" s="62">
        <f ca="1"/>
        <v>0</v>
      </c>
      <c r="F9" s="62">
        <f ca="1"/>
        <v>0</v>
      </c>
      <c r="G9" s="62">
        <f ca="1"/>
        <v>0</v>
      </c>
      <c r="H9" s="62">
        <f ca="1"/>
        <v>0</v>
      </c>
      <c r="I9" s="62">
        <f ca="1"/>
        <v>0</v>
      </c>
      <c r="J9" s="62">
        <f ca="1"/>
        <v>0</v>
      </c>
      <c r="K9" s="62">
        <f ca="1"/>
        <v>0</v>
      </c>
      <c r="L9" s="63">
        <f ca="1"/>
        <v>0</v>
      </c>
      <c r="M9" s="91" t="str">
        <f ca="1"/>
        <v>Euro Qualifier Rank</v>
      </c>
      <c r="N9" s="36"/>
      <c r="O9" s="47"/>
      <c r="P9" s="36"/>
      <c r="Q9" s="89" t="str">
        <v>Thu 17 Jun 14:00 (iTV)</v>
      </c>
      <c r="R9" s="68" t="str">
        <v>Ukraine</v>
      </c>
      <c r="S9" s="69" t="str">
        <v/>
      </c>
      <c r="T9" s="70" t="str">
        <v xml:space="preserve"> - </v>
      </c>
      <c r="U9" s="69" t="str">
        <v/>
      </c>
      <c r="V9" s="71" t="str">
        <v>North Macedonia</v>
      </c>
      <c r="W9" s="72" t="str">
        <v>Arean Nationala (ROM)</v>
      </c>
      <c r="X9" s="42"/>
      <c r="Y9" s="45"/>
    </row>
    <row r="10" spans="2:25" ht="17.25" x14ac:dyDescent="0.3">
      <c r="B10" s="42"/>
      <c r="C10" s="64">
        <v>3</v>
      </c>
      <c r="D10" s="65" t="str">
        <f ca="1"/>
        <v>Austria</v>
      </c>
      <c r="E10" s="66">
        <f ca="1"/>
        <v>0</v>
      </c>
      <c r="F10" s="66">
        <f ca="1"/>
        <v>0</v>
      </c>
      <c r="G10" s="66">
        <f ca="1"/>
        <v>0</v>
      </c>
      <c r="H10" s="66">
        <f ca="1"/>
        <v>0</v>
      </c>
      <c r="I10" s="66">
        <f ca="1"/>
        <v>0</v>
      </c>
      <c r="J10" s="66">
        <f ca="1"/>
        <v>0</v>
      </c>
      <c r="K10" s="66">
        <f ca="1"/>
        <v>0</v>
      </c>
      <c r="L10" s="67">
        <f ca="1"/>
        <v>0</v>
      </c>
      <c r="M10" s="92" t="str">
        <f ca="1"/>
        <v>Euro Qualifier Rank</v>
      </c>
      <c r="N10" s="36"/>
      <c r="O10" s="47"/>
      <c r="P10" s="36"/>
      <c r="Q10" s="90" t="str">
        <v>Thu 17 Jun 20:00 (BBC)</v>
      </c>
      <c r="R10" s="73" t="str">
        <v>Netherlands</v>
      </c>
      <c r="S10" s="74" t="str">
        <v/>
      </c>
      <c r="T10" s="75" t="str">
        <v xml:space="preserve"> - </v>
      </c>
      <c r="U10" s="74" t="str">
        <v/>
      </c>
      <c r="V10" s="76" t="str">
        <v>Austria</v>
      </c>
      <c r="W10" s="77" t="str">
        <v>Johan Cruyff Arena (NET)</v>
      </c>
      <c r="X10" s="42"/>
      <c r="Y10" s="45"/>
    </row>
    <row r="11" spans="2:25" ht="17.25" x14ac:dyDescent="0.3">
      <c r="B11" s="42"/>
      <c r="C11" s="64">
        <v>4</v>
      </c>
      <c r="D11" s="65" t="str">
        <f ca="1"/>
        <v>North Macedonia</v>
      </c>
      <c r="E11" s="66">
        <f ca="1"/>
        <v>0</v>
      </c>
      <c r="F11" s="66">
        <f ca="1"/>
        <v>0</v>
      </c>
      <c r="G11" s="66">
        <f ca="1"/>
        <v>0</v>
      </c>
      <c r="H11" s="66">
        <f ca="1"/>
        <v>0</v>
      </c>
      <c r="I11" s="66">
        <f ca="1"/>
        <v>0</v>
      </c>
      <c r="J11" s="66">
        <f ca="1"/>
        <v>0</v>
      </c>
      <c r="K11" s="66">
        <f ca="1"/>
        <v>0</v>
      </c>
      <c r="L11" s="67">
        <f ca="1"/>
        <v>0</v>
      </c>
      <c r="M11" s="92" t="str">
        <f ca="1"/>
        <v>Euro Qualifier Rank</v>
      </c>
      <c r="N11" s="36"/>
      <c r="O11" s="47"/>
      <c r="P11" s="36"/>
      <c r="Q11" s="89" t="str">
        <v>Mon 21 Jun 17:00 (iTV)</v>
      </c>
      <c r="R11" s="68" t="str">
        <v>North Macedonia</v>
      </c>
      <c r="S11" s="69" t="str">
        <v/>
      </c>
      <c r="T11" s="70" t="str">
        <v xml:space="preserve"> - </v>
      </c>
      <c r="U11" s="69" t="str">
        <v/>
      </c>
      <c r="V11" s="71" t="str">
        <v>Netherlands</v>
      </c>
      <c r="W11" s="72" t="str">
        <v>Johan Cruyff Arena (NET)</v>
      </c>
      <c r="X11" s="42"/>
      <c r="Y11" s="45"/>
    </row>
    <row r="12" spans="2:25" ht="17.25" x14ac:dyDescent="0.3">
      <c r="B12" s="42"/>
      <c r="C12" s="36"/>
      <c r="D12" s="36"/>
      <c r="E12" s="37"/>
      <c r="F12" s="37"/>
      <c r="G12" s="37"/>
      <c r="H12" s="37"/>
      <c r="I12" s="37"/>
      <c r="J12" s="37"/>
      <c r="K12" s="37"/>
      <c r="L12" s="37"/>
      <c r="M12" s="38"/>
      <c r="N12" s="36"/>
      <c r="O12" s="47"/>
      <c r="P12" s="36"/>
      <c r="Q12" s="90" t="str">
        <v>Mon 21 Jun 17:00 (iTV)</v>
      </c>
      <c r="R12" s="73" t="str">
        <v>Ukraine</v>
      </c>
      <c r="S12" s="74" t="str">
        <v/>
      </c>
      <c r="T12" s="75" t="str">
        <v xml:space="preserve"> - </v>
      </c>
      <c r="U12" s="74" t="str">
        <v/>
      </c>
      <c r="V12" s="76" t="str">
        <v>Austria</v>
      </c>
      <c r="W12" s="77" t="str">
        <v>Arean Nationala (ROM)</v>
      </c>
      <c r="X12" s="42"/>
      <c r="Y12" s="45"/>
    </row>
    <row r="13" spans="2:25" ht="16.5" x14ac:dyDescent="0.3">
      <c r="B13" s="42"/>
      <c r="C13" s="36"/>
      <c r="D13" s="36"/>
      <c r="E13" s="37"/>
      <c r="F13" s="37"/>
      <c r="G13" s="37"/>
      <c r="H13" s="37"/>
      <c r="I13" s="37"/>
      <c r="J13" s="37"/>
      <c r="K13" s="37"/>
      <c r="L13" s="37"/>
      <c r="M13" s="38"/>
      <c r="N13" s="36"/>
      <c r="O13" s="47"/>
      <c r="P13" s="36"/>
      <c r="Q13" s="39"/>
      <c r="R13" s="36"/>
      <c r="S13" s="37"/>
      <c r="T13" s="38"/>
      <c r="U13" s="37"/>
      <c r="V13" s="40"/>
      <c r="W13" s="41"/>
      <c r="X13" s="42"/>
      <c r="Y13" s="45"/>
    </row>
    <row r="14" spans="2:25" ht="16.5" x14ac:dyDescent="0.3">
      <c r="B14" s="45"/>
      <c r="C14" s="47"/>
      <c r="D14" s="47"/>
      <c r="E14" s="48"/>
      <c r="F14" s="48"/>
      <c r="G14" s="48"/>
      <c r="H14" s="48"/>
      <c r="I14" s="48"/>
      <c r="J14" s="48"/>
      <c r="K14" s="48"/>
      <c r="L14" s="48"/>
      <c r="M14" s="49"/>
      <c r="N14" s="47"/>
      <c r="O14" s="47"/>
      <c r="P14" s="47"/>
      <c r="Q14" s="50"/>
      <c r="R14" s="47"/>
      <c r="S14" s="48"/>
      <c r="T14" s="49"/>
      <c r="U14" s="48"/>
      <c r="V14" s="51"/>
      <c r="W14" s="52"/>
      <c r="X14" s="45"/>
      <c r="Y14" s="45"/>
    </row>
    <row r="16" spans="2:25" ht="16.5" x14ac:dyDescent="0.25">
      <c r="C16" s="31" t="s">
        <v>428</v>
      </c>
      <c r="D16" s="32"/>
      <c r="E16" s="48"/>
      <c r="F16" s="30" t="s">
        <v>439</v>
      </c>
      <c r="G16" s="30"/>
      <c r="H16" s="30"/>
      <c r="I16" s="30"/>
      <c r="J16" s="30"/>
      <c r="K16" s="30"/>
      <c r="L16" s="30"/>
    </row>
    <row r="17" spans="3:12" ht="16.5" x14ac:dyDescent="0.25">
      <c r="C17" s="33" t="s">
        <v>429</v>
      </c>
      <c r="D17" s="34"/>
      <c r="E17" s="48"/>
      <c r="F17" s="35" t="s">
        <v>440</v>
      </c>
      <c r="G17" s="35"/>
      <c r="H17" s="35"/>
      <c r="I17" s="35"/>
      <c r="J17" s="35"/>
      <c r="K17" s="35"/>
      <c r="L17" s="35"/>
    </row>
  </sheetData>
  <sheetProtection algorithmName="SHA-512" hashValue="Y2lBCWMlqxqIVQs7PNYBCND5biZToPBiIK+3s896DEFwb4/cZZKxUxAGm2jtmTv+7xPIKzX8XFNGWrwI7IlpKQ==" saltValue="DUHdtYDfhpeJyddQQ1hecA==" spinCount="100000" sheet="1" objects="1" scenarios="1" selectLockedCells="1"/>
  <mergeCells count="4">
    <mergeCell ref="C16:D16"/>
    <mergeCell ref="C17:D17"/>
    <mergeCell ref="F16:L16"/>
    <mergeCell ref="F17:L17"/>
  </mergeCells>
  <hyperlinks>
    <hyperlink ref="W2" location="'Index &amp; Summary'!A1" display="Index" xr:uid="{9F431375-E860-4310-A265-7629DEA3D287}"/>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07CEF34F-4E8B-462F-8583-646101165A7B}">
            <xm:f>SUM('Group A'!$F$30:$F$33)=12</xm:f>
            <x14:dxf>
              <font>
                <color theme="0"/>
              </font>
              <fill>
                <patternFill>
                  <bgColor theme="9" tint="-0.24994659260841701"/>
                </patternFill>
              </fill>
            </x14:dxf>
          </x14:cfRule>
          <xm:sqref>C8:M9</xm:sqref>
        </x14:conditionalFormatting>
        <x14:conditionalFormatting xmlns:xm="http://schemas.microsoft.com/office/excel/2006/main">
          <x14:cfRule type="expression" priority="2" id="{6A13C094-8B52-4042-858E-D62D8553CDFD}">
            <xm:f>AND('Group A'!$AE$32,'Group A'!$F$80=18)</xm:f>
            <x14:dxf>
              <font>
                <color theme="0"/>
              </font>
              <fill>
                <patternFill>
                  <bgColor theme="4" tint="-0.24994659260841701"/>
                </patternFill>
              </fill>
            </x14:dxf>
          </x14:cfRule>
          <x14:cfRule type="expression" priority="3" id="{EC5B815F-AE93-42F6-9472-8AF08FC086AB}">
            <xm:f>'Group A'!$AE$32</xm:f>
            <x14:dxf>
              <fill>
                <patternFill>
                  <bgColor theme="4" tint="0.79998168889431442"/>
                </patternFill>
              </fill>
            </x14:dxf>
          </x14:cfRule>
          <xm:sqref>C10:M10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43D5A-FCDE-4146-9C4C-820AA59888FF}">
  <dimension ref="B2:BD17"/>
  <sheetViews>
    <sheetView showRowColHeaders="0" zoomScale="85" zoomScaleNormal="85" workbookViewId="0">
      <pane xSplit="35" ySplit="44" topLeftCell="AJ45" activePane="bottomRight" state="frozenSplit"/>
      <selection pane="topRight" activeCell="AJ1" sqref="AJ1"/>
      <selection pane="bottomLeft" activeCell="A45" sqref="A45"/>
      <selection pane="bottomRight" activeCell="W2" sqref="W2"/>
    </sheetView>
  </sheetViews>
  <sheetFormatPr defaultRowHeight="15" x14ac:dyDescent="0.25"/>
  <cols>
    <col min="1" max="1" width="2.85546875" style="53" customWidth="1"/>
    <col min="2" max="2" width="2.140625" style="53" customWidth="1"/>
    <col min="3" max="3" width="6.7109375" style="53" customWidth="1"/>
    <col min="4" max="4" width="21.5703125" style="53" customWidth="1"/>
    <col min="5" max="12" width="4.28515625" style="53" customWidth="1"/>
    <col min="13" max="13" width="25.42578125" style="53" customWidth="1"/>
    <col min="14" max="14" width="2.140625" style="53" customWidth="1"/>
    <col min="15" max="15" width="3.85546875" style="53" customWidth="1"/>
    <col min="16" max="16" width="2.140625" style="53" customWidth="1"/>
    <col min="17" max="17" width="22.85546875" style="53" customWidth="1"/>
    <col min="18" max="18" width="19.7109375" style="53" customWidth="1"/>
    <col min="19" max="19" width="7.140625" style="53" customWidth="1"/>
    <col min="20" max="20" width="2.42578125" style="53" bestFit="1" customWidth="1"/>
    <col min="21" max="21" width="7.140625" style="53" customWidth="1"/>
    <col min="22" max="22" width="19.7109375" style="53" customWidth="1"/>
    <col min="23" max="23" width="22.85546875" style="53" customWidth="1"/>
    <col min="24" max="24" width="2.140625" style="53" customWidth="1"/>
    <col min="25" max="43" width="9.140625" style="53"/>
    <col min="44" max="44" width="2.85546875" style="53" customWidth="1"/>
    <col min="45" max="45" width="2.140625" style="53" customWidth="1"/>
    <col min="46" max="46" width="9.140625" style="53"/>
    <col min="47" max="47" width="21.5703125" style="53" customWidth="1"/>
    <col min="48" max="55" width="4.28515625" style="53" customWidth="1"/>
    <col min="56" max="56" width="9.140625" style="53"/>
    <col min="57" max="57" width="2.140625" style="53" customWidth="1"/>
    <col min="58" max="58" width="9.140625" style="53"/>
    <col min="59" max="59" width="2.140625" style="53" customWidth="1"/>
    <col min="60" max="61" width="9.140625" style="53"/>
    <col min="62" max="62" width="7.140625" style="53" customWidth="1"/>
    <col min="63" max="63" width="9.140625" style="53"/>
    <col min="64" max="64" width="7.140625" style="53" customWidth="1"/>
    <col min="65" max="66" width="9.140625" style="53"/>
    <col min="67" max="67" width="2.140625" style="53" customWidth="1"/>
    <col min="68" max="16384" width="9.140625" style="53"/>
  </cols>
  <sheetData>
    <row r="2" spans="2:56" x14ac:dyDescent="0.25">
      <c r="W2" s="104" t="s">
        <v>504</v>
      </c>
    </row>
    <row r="4" spans="2:56" ht="16.5" x14ac:dyDescent="0.3">
      <c r="B4" s="45"/>
      <c r="C4" s="47"/>
      <c r="D4" s="47"/>
      <c r="E4" s="48"/>
      <c r="F4" s="48"/>
      <c r="G4" s="48"/>
      <c r="H4" s="48"/>
      <c r="I4" s="48"/>
      <c r="J4" s="48"/>
      <c r="K4" s="48"/>
      <c r="L4" s="48"/>
      <c r="M4" s="49"/>
      <c r="N4" s="47"/>
      <c r="O4" s="47"/>
      <c r="P4" s="47"/>
      <c r="Q4" s="50"/>
      <c r="R4" s="47"/>
      <c r="S4" s="48"/>
      <c r="T4" s="49"/>
      <c r="U4" s="48"/>
      <c r="V4" s="51"/>
      <c r="W4" s="52"/>
      <c r="X4" s="45"/>
      <c r="Y4" s="45"/>
    </row>
    <row r="5" spans="2:56" ht="16.5" x14ac:dyDescent="0.3">
      <c r="B5" s="45"/>
      <c r="C5" s="47"/>
      <c r="D5" s="47"/>
      <c r="E5" s="48"/>
      <c r="F5" s="48"/>
      <c r="G5" s="48"/>
      <c r="H5" s="48"/>
      <c r="I5" s="48"/>
      <c r="J5" s="48"/>
      <c r="K5" s="48"/>
      <c r="L5" s="48"/>
      <c r="M5" s="49"/>
      <c r="N5" s="47"/>
      <c r="O5" s="47"/>
      <c r="P5" s="47"/>
      <c r="Q5" s="50"/>
      <c r="R5" s="47"/>
      <c r="S5" s="48"/>
      <c r="T5" s="49"/>
      <c r="U5" s="48"/>
      <c r="V5" s="51"/>
      <c r="W5" s="52"/>
      <c r="X5" s="45"/>
      <c r="Y5" s="45"/>
    </row>
    <row r="6" spans="2:56" ht="16.5" x14ac:dyDescent="0.3">
      <c r="B6" s="42"/>
      <c r="C6" s="36"/>
      <c r="D6" s="36"/>
      <c r="E6" s="37"/>
      <c r="F6" s="37"/>
      <c r="G6" s="37"/>
      <c r="H6" s="37"/>
      <c r="I6" s="37"/>
      <c r="J6" s="37"/>
      <c r="K6" s="37"/>
      <c r="L6" s="37"/>
      <c r="M6" s="38"/>
      <c r="N6" s="36"/>
      <c r="O6" s="47"/>
      <c r="P6" s="36"/>
      <c r="Q6" s="39"/>
      <c r="R6" s="36"/>
      <c r="S6" s="37"/>
      <c r="T6" s="38"/>
      <c r="U6" s="37"/>
      <c r="V6" s="40"/>
      <c r="W6" s="41"/>
      <c r="X6" s="42"/>
      <c r="Y6" s="45"/>
    </row>
    <row r="7" spans="2:56" ht="17.25" x14ac:dyDescent="0.3">
      <c r="B7" s="42"/>
      <c r="C7" s="157" t="s">
        <v>338</v>
      </c>
      <c r="D7" s="158" t="s">
        <v>24</v>
      </c>
      <c r="E7" s="157" t="s">
        <v>54</v>
      </c>
      <c r="F7" s="157" t="s">
        <v>55</v>
      </c>
      <c r="G7" s="157" t="s">
        <v>34</v>
      </c>
      <c r="H7" s="157" t="s">
        <v>29</v>
      </c>
      <c r="I7" s="157" t="s">
        <v>56</v>
      </c>
      <c r="J7" s="157" t="s">
        <v>57</v>
      </c>
      <c r="K7" s="157" t="s">
        <v>329</v>
      </c>
      <c r="L7" s="157" t="s">
        <v>59</v>
      </c>
      <c r="M7" s="157" t="s">
        <v>524</v>
      </c>
      <c r="N7" s="36"/>
      <c r="O7" s="47"/>
      <c r="P7" s="36"/>
      <c r="Q7" s="89" t="str">
        <f t="array" ref="Q7:S12">'Group A'!AI41:AK46</f>
        <v>Sun 13 Jun 14:00 (BBC)</v>
      </c>
      <c r="R7" s="68" t="str">
        <v>England</v>
      </c>
      <c r="S7" s="69" t="str">
        <v/>
      </c>
      <c r="T7" s="70" t="str">
        <f t="array" ref="T7:T12">'Group A'!AQ41:AQ46</f>
        <v xml:space="preserve"> - </v>
      </c>
      <c r="U7" s="69" t="str">
        <f t="array" ref="U7:W12">'Group A'!AN41:AP46</f>
        <v/>
      </c>
      <c r="V7" s="71" t="str">
        <v>Croatia</v>
      </c>
      <c r="W7" s="72" t="str">
        <v>Wembley Stadium (ENG)</v>
      </c>
      <c r="X7" s="42"/>
      <c r="Y7" s="45"/>
      <c r="AT7" s="157" t="s">
        <v>338</v>
      </c>
      <c r="AU7" s="158" t="s">
        <v>24</v>
      </c>
      <c r="AV7" s="157" t="s">
        <v>54</v>
      </c>
      <c r="AW7" s="157" t="s">
        <v>55</v>
      </c>
      <c r="AX7" s="157" t="s">
        <v>34</v>
      </c>
      <c r="AY7" s="157" t="s">
        <v>29</v>
      </c>
      <c r="AZ7" s="157" t="s">
        <v>56</v>
      </c>
      <c r="BA7" s="157" t="s">
        <v>57</v>
      </c>
      <c r="BB7" s="157" t="s">
        <v>329</v>
      </c>
      <c r="BC7" s="157" t="s">
        <v>59</v>
      </c>
      <c r="BD7" s="157" t="s">
        <v>524</v>
      </c>
    </row>
    <row r="8" spans="2:56" ht="17.25" x14ac:dyDescent="0.3">
      <c r="B8" s="42"/>
      <c r="C8" s="60">
        <f t="array" ref="C8:L11">'Group A'!D41:M44</f>
        <v>1</v>
      </c>
      <c r="D8" s="61" t="str">
        <f ca="1"/>
        <v>England</v>
      </c>
      <c r="E8" s="62">
        <f ca="1"/>
        <v>0</v>
      </c>
      <c r="F8" s="62">
        <f ca="1"/>
        <v>0</v>
      </c>
      <c r="G8" s="62">
        <f ca="1"/>
        <v>0</v>
      </c>
      <c r="H8" s="62">
        <f ca="1"/>
        <v>0</v>
      </c>
      <c r="I8" s="62">
        <f ca="1"/>
        <v>0</v>
      </c>
      <c r="J8" s="62">
        <f ca="1"/>
        <v>0</v>
      </c>
      <c r="K8" s="62">
        <f ca="1"/>
        <v>0</v>
      </c>
      <c r="L8" s="63">
        <f ca="1"/>
        <v>0</v>
      </c>
      <c r="M8" s="91" t="str">
        <f t="array" aca="1" ref="M8:M11" ca="1">'Group A'!AD41:AD44</f>
        <v>Euro Qualifier Rank</v>
      </c>
      <c r="N8" s="36"/>
      <c r="O8" s="47"/>
      <c r="P8" s="36"/>
      <c r="Q8" s="90" t="str">
        <v>Mon 14 Jun 14:00 (BBC)</v>
      </c>
      <c r="R8" s="73" t="str">
        <v>Scotland</v>
      </c>
      <c r="S8" s="74" t="str">
        <v/>
      </c>
      <c r="T8" s="75" t="str">
        <v xml:space="preserve"> - </v>
      </c>
      <c r="U8" s="74" t="str">
        <v/>
      </c>
      <c r="V8" s="76" t="str">
        <v>Czech Republic</v>
      </c>
      <c r="W8" s="77" t="str">
        <v>Hampden Park (SCO)</v>
      </c>
      <c r="X8" s="42"/>
      <c r="Y8" s="45"/>
    </row>
    <row r="9" spans="2:56" ht="17.25" x14ac:dyDescent="0.3">
      <c r="B9" s="42"/>
      <c r="C9" s="60">
        <v>2</v>
      </c>
      <c r="D9" s="61" t="str">
        <f ca="1"/>
        <v>Croatia</v>
      </c>
      <c r="E9" s="62">
        <f ca="1"/>
        <v>0</v>
      </c>
      <c r="F9" s="62">
        <f ca="1"/>
        <v>0</v>
      </c>
      <c r="G9" s="62">
        <f ca="1"/>
        <v>0</v>
      </c>
      <c r="H9" s="62">
        <f ca="1"/>
        <v>0</v>
      </c>
      <c r="I9" s="62">
        <f ca="1"/>
        <v>0</v>
      </c>
      <c r="J9" s="62">
        <f ca="1"/>
        <v>0</v>
      </c>
      <c r="K9" s="62">
        <f ca="1"/>
        <v>0</v>
      </c>
      <c r="L9" s="63">
        <f ca="1"/>
        <v>0</v>
      </c>
      <c r="M9" s="91" t="str">
        <f ca="1"/>
        <v>Euro Qualifier Rank</v>
      </c>
      <c r="N9" s="36"/>
      <c r="O9" s="47"/>
      <c r="P9" s="36"/>
      <c r="Q9" s="89" t="str">
        <v>Fri 18 Jun 17:00 (BBC)</v>
      </c>
      <c r="R9" s="68" t="str">
        <v>Croatia</v>
      </c>
      <c r="S9" s="69" t="str">
        <v/>
      </c>
      <c r="T9" s="70" t="str">
        <v xml:space="preserve"> - </v>
      </c>
      <c r="U9" s="69" t="str">
        <v/>
      </c>
      <c r="V9" s="71" t="str">
        <v>Czech Republic</v>
      </c>
      <c r="W9" s="72" t="str">
        <v>Hampden Park (SCO)</v>
      </c>
      <c r="X9" s="42"/>
      <c r="Y9" s="45"/>
    </row>
    <row r="10" spans="2:56" ht="17.25" x14ac:dyDescent="0.3">
      <c r="B10" s="42"/>
      <c r="C10" s="64">
        <v>3</v>
      </c>
      <c r="D10" s="65" t="str">
        <f ca="1"/>
        <v>Czech Republic</v>
      </c>
      <c r="E10" s="66">
        <f ca="1"/>
        <v>0</v>
      </c>
      <c r="F10" s="66">
        <f ca="1"/>
        <v>0</v>
      </c>
      <c r="G10" s="66">
        <f ca="1"/>
        <v>0</v>
      </c>
      <c r="H10" s="66">
        <f ca="1"/>
        <v>0</v>
      </c>
      <c r="I10" s="66">
        <f ca="1"/>
        <v>0</v>
      </c>
      <c r="J10" s="66">
        <f ca="1"/>
        <v>0</v>
      </c>
      <c r="K10" s="66">
        <f ca="1"/>
        <v>0</v>
      </c>
      <c r="L10" s="67">
        <f ca="1"/>
        <v>0</v>
      </c>
      <c r="M10" s="92" t="str">
        <f ca="1"/>
        <v>Euro Qualifier Rank</v>
      </c>
      <c r="N10" s="36"/>
      <c r="O10" s="47"/>
      <c r="P10" s="36"/>
      <c r="Q10" s="90" t="str">
        <v>Fri 18 Jun 20:00 (iTV)</v>
      </c>
      <c r="R10" s="73" t="str">
        <v>England</v>
      </c>
      <c r="S10" s="74" t="str">
        <v/>
      </c>
      <c r="T10" s="75" t="str">
        <v xml:space="preserve"> - </v>
      </c>
      <c r="U10" s="74" t="str">
        <v/>
      </c>
      <c r="V10" s="76" t="str">
        <v>Scotland</v>
      </c>
      <c r="W10" s="77" t="str">
        <v>Wembley Stadium (ENG)</v>
      </c>
      <c r="X10" s="42"/>
      <c r="Y10" s="45"/>
    </row>
    <row r="11" spans="2:56" ht="17.25" x14ac:dyDescent="0.3">
      <c r="B11" s="42"/>
      <c r="C11" s="64">
        <v>4</v>
      </c>
      <c r="D11" s="65" t="str">
        <f ca="1"/>
        <v>Scotland</v>
      </c>
      <c r="E11" s="66">
        <f ca="1"/>
        <v>0</v>
      </c>
      <c r="F11" s="66">
        <f ca="1"/>
        <v>0</v>
      </c>
      <c r="G11" s="66">
        <f ca="1"/>
        <v>0</v>
      </c>
      <c r="H11" s="66">
        <f ca="1"/>
        <v>0</v>
      </c>
      <c r="I11" s="66">
        <f ca="1"/>
        <v>0</v>
      </c>
      <c r="J11" s="66">
        <f ca="1"/>
        <v>0</v>
      </c>
      <c r="K11" s="66">
        <f ca="1"/>
        <v>0</v>
      </c>
      <c r="L11" s="67">
        <f ca="1"/>
        <v>0</v>
      </c>
      <c r="M11" s="92" t="str">
        <f ca="1"/>
        <v>Euro Qualifier Rank</v>
      </c>
      <c r="N11" s="36"/>
      <c r="O11" s="47"/>
      <c r="P11" s="36"/>
      <c r="Q11" s="89" t="str">
        <v>Tue 22 Jun 20:00 (iTV)</v>
      </c>
      <c r="R11" s="68" t="str">
        <v>Croatia</v>
      </c>
      <c r="S11" s="69" t="str">
        <v/>
      </c>
      <c r="T11" s="70" t="str">
        <v xml:space="preserve"> - </v>
      </c>
      <c r="U11" s="69" t="str">
        <v/>
      </c>
      <c r="V11" s="71" t="str">
        <v>Scotland</v>
      </c>
      <c r="W11" s="72" t="str">
        <v>Hampden Park (SCO)</v>
      </c>
      <c r="X11" s="42"/>
      <c r="Y11" s="45"/>
    </row>
    <row r="12" spans="2:56" ht="17.25" x14ac:dyDescent="0.3">
      <c r="B12" s="42"/>
      <c r="C12" s="36"/>
      <c r="D12" s="36"/>
      <c r="E12" s="37"/>
      <c r="F12" s="37"/>
      <c r="G12" s="37"/>
      <c r="H12" s="37"/>
      <c r="I12" s="37"/>
      <c r="J12" s="37"/>
      <c r="K12" s="37"/>
      <c r="L12" s="37"/>
      <c r="M12" s="38"/>
      <c r="N12" s="36"/>
      <c r="O12" s="47"/>
      <c r="P12" s="36"/>
      <c r="Q12" s="90" t="str">
        <v>Tue 22 Jun 20:00 (iTV)</v>
      </c>
      <c r="R12" s="73" t="str">
        <v>Czech Republic</v>
      </c>
      <c r="S12" s="74" t="str">
        <v/>
      </c>
      <c r="T12" s="75" t="str">
        <v xml:space="preserve"> - </v>
      </c>
      <c r="U12" s="74" t="str">
        <v/>
      </c>
      <c r="V12" s="76" t="str">
        <v>England</v>
      </c>
      <c r="W12" s="77" t="str">
        <v>Wembley Stadium (ENG)</v>
      </c>
      <c r="X12" s="42"/>
      <c r="Y12" s="45"/>
    </row>
    <row r="13" spans="2:56" ht="16.5" x14ac:dyDescent="0.3">
      <c r="B13" s="42"/>
      <c r="C13" s="36"/>
      <c r="D13" s="36"/>
      <c r="E13" s="37"/>
      <c r="F13" s="37"/>
      <c r="G13" s="37"/>
      <c r="H13" s="37"/>
      <c r="I13" s="37"/>
      <c r="J13" s="37"/>
      <c r="K13" s="37"/>
      <c r="L13" s="37"/>
      <c r="M13" s="38"/>
      <c r="N13" s="36"/>
      <c r="O13" s="47"/>
      <c r="P13" s="36"/>
      <c r="Q13" s="39"/>
      <c r="R13" s="36"/>
      <c r="S13" s="37"/>
      <c r="T13" s="38"/>
      <c r="U13" s="37"/>
      <c r="V13" s="40"/>
      <c r="W13" s="41"/>
      <c r="X13" s="42"/>
      <c r="Y13" s="45"/>
    </row>
    <row r="14" spans="2:56" ht="16.5" x14ac:dyDescent="0.3">
      <c r="B14" s="45"/>
      <c r="C14" s="47"/>
      <c r="D14" s="47"/>
      <c r="E14" s="48"/>
      <c r="F14" s="48"/>
      <c r="G14" s="48"/>
      <c r="H14" s="48"/>
      <c r="I14" s="48"/>
      <c r="J14" s="48"/>
      <c r="K14" s="48"/>
      <c r="L14" s="48"/>
      <c r="M14" s="49"/>
      <c r="N14" s="47"/>
      <c r="O14" s="47"/>
      <c r="P14" s="47"/>
      <c r="Q14" s="50"/>
      <c r="R14" s="47"/>
      <c r="S14" s="48"/>
      <c r="T14" s="49"/>
      <c r="U14" s="48"/>
      <c r="V14" s="51"/>
      <c r="W14" s="52"/>
      <c r="X14" s="45"/>
      <c r="Y14" s="45"/>
    </row>
    <row r="16" spans="2:56" ht="16.5" x14ac:dyDescent="0.25">
      <c r="C16" s="31" t="s">
        <v>428</v>
      </c>
      <c r="D16" s="32"/>
      <c r="E16" s="48"/>
      <c r="F16" s="30" t="s">
        <v>439</v>
      </c>
      <c r="G16" s="30"/>
      <c r="H16" s="30"/>
      <c r="I16" s="30"/>
      <c r="J16" s="30"/>
      <c r="K16" s="30"/>
      <c r="L16" s="30"/>
    </row>
    <row r="17" spans="3:12" ht="16.5" x14ac:dyDescent="0.25">
      <c r="C17" s="33" t="s">
        <v>429</v>
      </c>
      <c r="D17" s="34"/>
      <c r="E17" s="48"/>
      <c r="F17" s="35" t="s">
        <v>440</v>
      </c>
      <c r="G17" s="35"/>
      <c r="H17" s="35"/>
      <c r="I17" s="35"/>
      <c r="J17" s="35"/>
      <c r="K17" s="35"/>
      <c r="L17" s="35"/>
    </row>
  </sheetData>
  <sheetProtection algorithmName="SHA-512" hashValue="ODp5qelJEPuTH69qcUjm+Rd/hqjdQcxR+nB0vf/P0C+RDfGK9bD9mabPu8InITqc1fMZ5gKQaumSbNuyfl9ipQ==" saltValue="EBZMU7K3/Fl83NQ6AtxPIw==" spinCount="100000" sheet="1" objects="1" scenarios="1" selectLockedCells="1"/>
  <mergeCells count="4">
    <mergeCell ref="C16:D16"/>
    <mergeCell ref="C17:D17"/>
    <mergeCell ref="F16:L16"/>
    <mergeCell ref="F17:L17"/>
  </mergeCells>
  <hyperlinks>
    <hyperlink ref="W2" location="'Index &amp; Summary'!A1" display="Index" xr:uid="{8CC7B228-C480-41F6-8C4C-09D5EAA39190}"/>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9392D6C8-83B2-4FBB-A5B2-58B36CEA7713}">
            <xm:f>SUM('Group A'!$F$41:$F$44)=12</xm:f>
            <x14:dxf>
              <font>
                <color theme="0"/>
              </font>
              <fill>
                <patternFill>
                  <bgColor theme="9" tint="-0.24994659260841701"/>
                </patternFill>
              </fill>
            </x14:dxf>
          </x14:cfRule>
          <xm:sqref>C8:M9</xm:sqref>
        </x14:conditionalFormatting>
        <x14:conditionalFormatting xmlns:xm="http://schemas.microsoft.com/office/excel/2006/main">
          <x14:cfRule type="expression" priority="2" id="{B48A0224-4C3C-488D-9C7E-BED18E050615}">
            <xm:f>AND('Group A'!$AE$43,'Group A'!$F$80=18)</xm:f>
            <x14:dxf>
              <font>
                <color theme="0"/>
              </font>
              <fill>
                <patternFill>
                  <bgColor theme="4" tint="-0.24994659260841701"/>
                </patternFill>
              </fill>
            </x14:dxf>
          </x14:cfRule>
          <x14:cfRule type="expression" priority="3" id="{10D30146-68A7-4972-8587-3F14FDB5CD97}">
            <xm:f>'Group A'!$AE$43</xm:f>
            <x14:dxf>
              <fill>
                <patternFill>
                  <bgColor theme="4" tint="0.79998168889431442"/>
                </patternFill>
              </fill>
            </x14:dxf>
          </x14:cfRule>
          <xm:sqref>C10:M10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3ACAF-FA50-4CB0-918C-E9B2E50EA9B0}">
  <dimension ref="B2:BD17"/>
  <sheetViews>
    <sheetView showRowColHeaders="0" zoomScale="85" zoomScaleNormal="85" workbookViewId="0">
      <pane xSplit="35" ySplit="44" topLeftCell="AJ45" activePane="bottomRight" state="frozenSplit"/>
      <selection pane="topRight" activeCell="AJ1" sqref="AJ1"/>
      <selection pane="bottomLeft" activeCell="A45" sqref="A45"/>
      <selection pane="bottomRight" activeCell="W2" sqref="W2"/>
    </sheetView>
  </sheetViews>
  <sheetFormatPr defaultRowHeight="15" x14ac:dyDescent="0.25"/>
  <cols>
    <col min="1" max="1" width="2.85546875" style="53" customWidth="1"/>
    <col min="2" max="2" width="2.140625" style="53" customWidth="1"/>
    <col min="3" max="3" width="6.7109375" style="53" customWidth="1"/>
    <col min="4" max="4" width="21.5703125" style="53" customWidth="1"/>
    <col min="5" max="12" width="4.28515625" style="53" customWidth="1"/>
    <col min="13" max="13" width="25.42578125" style="53" customWidth="1"/>
    <col min="14" max="14" width="2.140625" style="53" customWidth="1"/>
    <col min="15" max="15" width="3.85546875" style="53" customWidth="1"/>
    <col min="16" max="16" width="2.140625" style="53" customWidth="1"/>
    <col min="17" max="17" width="22.85546875" style="53" customWidth="1"/>
    <col min="18" max="18" width="19.7109375" style="53" customWidth="1"/>
    <col min="19" max="19" width="7.140625" style="53" customWidth="1"/>
    <col min="20" max="20" width="2.42578125" style="53" bestFit="1" customWidth="1"/>
    <col min="21" max="21" width="7.140625" style="53" customWidth="1"/>
    <col min="22" max="22" width="19.7109375" style="53" customWidth="1"/>
    <col min="23" max="23" width="22.85546875" style="53" customWidth="1"/>
    <col min="24" max="24" width="2.140625" style="53" customWidth="1"/>
    <col min="25" max="43" width="9.140625" style="53"/>
    <col min="44" max="44" width="2.85546875" style="53" customWidth="1"/>
    <col min="45" max="45" width="2.140625" style="53" customWidth="1"/>
    <col min="46" max="46" width="9.140625" style="53"/>
    <col min="47" max="47" width="21.5703125" style="53" customWidth="1"/>
    <col min="48" max="55" width="4.28515625" style="53" customWidth="1"/>
    <col min="56" max="56" width="9.140625" style="53"/>
    <col min="57" max="57" width="2.140625" style="53" customWidth="1"/>
    <col min="58" max="58" width="9.140625" style="53"/>
    <col min="59" max="59" width="2.140625" style="53" customWidth="1"/>
    <col min="60" max="61" width="9.140625" style="53"/>
    <col min="62" max="62" width="7.140625" style="53" customWidth="1"/>
    <col min="63" max="63" width="9.140625" style="53"/>
    <col min="64" max="64" width="7.140625" style="53" customWidth="1"/>
    <col min="65" max="66" width="9.140625" style="53"/>
    <col min="67" max="67" width="2.140625" style="53" customWidth="1"/>
    <col min="68" max="16384" width="9.140625" style="53"/>
  </cols>
  <sheetData>
    <row r="2" spans="2:56" x14ac:dyDescent="0.25">
      <c r="W2" s="104" t="s">
        <v>504</v>
      </c>
    </row>
    <row r="4" spans="2:56" ht="16.5" x14ac:dyDescent="0.3">
      <c r="B4" s="45"/>
      <c r="C4" s="47"/>
      <c r="D4" s="47"/>
      <c r="E4" s="48"/>
      <c r="F4" s="48"/>
      <c r="G4" s="48"/>
      <c r="H4" s="48"/>
      <c r="I4" s="48"/>
      <c r="J4" s="48"/>
      <c r="K4" s="48"/>
      <c r="L4" s="48"/>
      <c r="M4" s="49"/>
      <c r="N4" s="47"/>
      <c r="O4" s="47"/>
      <c r="P4" s="47"/>
      <c r="Q4" s="50"/>
      <c r="R4" s="47"/>
      <c r="S4" s="48"/>
      <c r="T4" s="49"/>
      <c r="U4" s="48"/>
      <c r="V4" s="51"/>
      <c r="W4" s="52"/>
      <c r="X4" s="45"/>
      <c r="Y4" s="45"/>
    </row>
    <row r="5" spans="2:56" ht="16.5" x14ac:dyDescent="0.3">
      <c r="B5" s="45"/>
      <c r="C5" s="47"/>
      <c r="D5" s="47"/>
      <c r="E5" s="48"/>
      <c r="F5" s="48"/>
      <c r="G5" s="48"/>
      <c r="H5" s="48"/>
      <c r="I5" s="48"/>
      <c r="J5" s="48"/>
      <c r="K5" s="48"/>
      <c r="L5" s="48"/>
      <c r="M5" s="49"/>
      <c r="N5" s="47"/>
      <c r="O5" s="47"/>
      <c r="P5" s="47"/>
      <c r="Q5" s="50"/>
      <c r="R5" s="47"/>
      <c r="S5" s="48"/>
      <c r="T5" s="49"/>
      <c r="U5" s="48"/>
      <c r="V5" s="51"/>
      <c r="W5" s="52"/>
      <c r="X5" s="45"/>
      <c r="Y5" s="45"/>
    </row>
    <row r="6" spans="2:56" ht="16.5" x14ac:dyDescent="0.3">
      <c r="B6" s="42"/>
      <c r="C6" s="36"/>
      <c r="D6" s="36"/>
      <c r="E6" s="37"/>
      <c r="F6" s="37"/>
      <c r="G6" s="37"/>
      <c r="H6" s="37"/>
      <c r="I6" s="37"/>
      <c r="J6" s="37"/>
      <c r="K6" s="37"/>
      <c r="L6" s="37"/>
      <c r="M6" s="38"/>
      <c r="N6" s="36"/>
      <c r="O6" s="47"/>
      <c r="P6" s="36"/>
      <c r="Q6" s="39"/>
      <c r="R6" s="36"/>
      <c r="S6" s="37"/>
      <c r="T6" s="38"/>
      <c r="U6" s="37"/>
      <c r="V6" s="40"/>
      <c r="W6" s="41"/>
      <c r="X6" s="42"/>
      <c r="Y6" s="45"/>
    </row>
    <row r="7" spans="2:56" ht="17.25" x14ac:dyDescent="0.3">
      <c r="B7" s="42"/>
      <c r="C7" s="157" t="s">
        <v>338</v>
      </c>
      <c r="D7" s="158" t="s">
        <v>24</v>
      </c>
      <c r="E7" s="157" t="s">
        <v>54</v>
      </c>
      <c r="F7" s="157" t="s">
        <v>55</v>
      </c>
      <c r="G7" s="157" t="s">
        <v>34</v>
      </c>
      <c r="H7" s="157" t="s">
        <v>29</v>
      </c>
      <c r="I7" s="157" t="s">
        <v>56</v>
      </c>
      <c r="J7" s="157" t="s">
        <v>57</v>
      </c>
      <c r="K7" s="157" t="s">
        <v>329</v>
      </c>
      <c r="L7" s="157" t="s">
        <v>59</v>
      </c>
      <c r="M7" s="157" t="s">
        <v>524</v>
      </c>
      <c r="N7" s="36"/>
      <c r="O7" s="47"/>
      <c r="P7" s="36"/>
      <c r="Q7" s="89" t="str">
        <f t="array" ref="Q7:S12">'Group A'!AI52:AK57</f>
        <v>Mon 14 Jun 17:00 (iTV)</v>
      </c>
      <c r="R7" s="68" t="str">
        <v>Poland</v>
      </c>
      <c r="S7" s="69" t="str">
        <v/>
      </c>
      <c r="T7" s="70" t="str">
        <f t="array" ref="T7:T12">'Group A'!AQ52:AQ57</f>
        <v xml:space="preserve"> - </v>
      </c>
      <c r="U7" s="69" t="str">
        <f t="array" ref="U7:W12">'Group A'!AN52:AP57</f>
        <v/>
      </c>
      <c r="V7" s="71" t="str">
        <v>Slovakia</v>
      </c>
      <c r="W7" s="72" t="str">
        <v>Krestovsky Stadium (RUS)</v>
      </c>
      <c r="X7" s="42"/>
      <c r="Y7" s="45"/>
      <c r="AT7" s="157" t="s">
        <v>338</v>
      </c>
      <c r="AU7" s="158" t="s">
        <v>24</v>
      </c>
      <c r="AV7" s="157" t="s">
        <v>54</v>
      </c>
      <c r="AW7" s="157" t="s">
        <v>55</v>
      </c>
      <c r="AX7" s="157" t="s">
        <v>34</v>
      </c>
      <c r="AY7" s="157" t="s">
        <v>29</v>
      </c>
      <c r="AZ7" s="157" t="s">
        <v>56</v>
      </c>
      <c r="BA7" s="157" t="s">
        <v>57</v>
      </c>
      <c r="BB7" s="157" t="s">
        <v>329</v>
      </c>
      <c r="BC7" s="157" t="s">
        <v>59</v>
      </c>
      <c r="BD7" s="157" t="s">
        <v>524</v>
      </c>
    </row>
    <row r="8" spans="2:56" ht="17.25" x14ac:dyDescent="0.3">
      <c r="B8" s="42"/>
      <c r="C8" s="60">
        <f t="array" ref="C8:L11">'Group A'!D52:M55</f>
        <v>1</v>
      </c>
      <c r="D8" s="61" t="str">
        <f ca="1"/>
        <v>Spain</v>
      </c>
      <c r="E8" s="62">
        <f ca="1"/>
        <v>0</v>
      </c>
      <c r="F8" s="62">
        <f ca="1"/>
        <v>0</v>
      </c>
      <c r="G8" s="62">
        <f ca="1"/>
        <v>0</v>
      </c>
      <c r="H8" s="62">
        <f ca="1"/>
        <v>0</v>
      </c>
      <c r="I8" s="62">
        <f ca="1"/>
        <v>0</v>
      </c>
      <c r="J8" s="62">
        <f ca="1"/>
        <v>0</v>
      </c>
      <c r="K8" s="62">
        <f ca="1"/>
        <v>0</v>
      </c>
      <c r="L8" s="63">
        <f ca="1"/>
        <v>0</v>
      </c>
      <c r="M8" s="91" t="str">
        <f t="array" aca="1" ref="M8:M11" ca="1">'Group A'!AD52:AD55</f>
        <v>Euro Qualifier Rank</v>
      </c>
      <c r="N8" s="36"/>
      <c r="O8" s="47"/>
      <c r="P8" s="36"/>
      <c r="Q8" s="90" t="str">
        <v>Mon 14 Jun 20:00 (BBC)</v>
      </c>
      <c r="R8" s="73" t="str">
        <v>Spain</v>
      </c>
      <c r="S8" s="74" t="str">
        <v/>
      </c>
      <c r="T8" s="75" t="str">
        <v xml:space="preserve"> - </v>
      </c>
      <c r="U8" s="74" t="str">
        <v/>
      </c>
      <c r="V8" s="76" t="str">
        <v>Sweden</v>
      </c>
      <c r="W8" s="77" t="str">
        <v>La Cartuja (SPA)</v>
      </c>
      <c r="X8" s="42"/>
      <c r="Y8" s="45"/>
    </row>
    <row r="9" spans="2:56" ht="17.25" x14ac:dyDescent="0.3">
      <c r="B9" s="42"/>
      <c r="C9" s="60">
        <v>2</v>
      </c>
      <c r="D9" s="61" t="str">
        <f ca="1"/>
        <v>Poland</v>
      </c>
      <c r="E9" s="62">
        <f ca="1"/>
        <v>0</v>
      </c>
      <c r="F9" s="62">
        <f ca="1"/>
        <v>0</v>
      </c>
      <c r="G9" s="62">
        <f ca="1"/>
        <v>0</v>
      </c>
      <c r="H9" s="62">
        <f ca="1"/>
        <v>0</v>
      </c>
      <c r="I9" s="62">
        <f ca="1"/>
        <v>0</v>
      </c>
      <c r="J9" s="62">
        <f ca="1"/>
        <v>0</v>
      </c>
      <c r="K9" s="62">
        <f ca="1"/>
        <v>0</v>
      </c>
      <c r="L9" s="63">
        <f ca="1"/>
        <v>0</v>
      </c>
      <c r="M9" s="91" t="str">
        <f ca="1"/>
        <v>Euro Qualifier Rank</v>
      </c>
      <c r="N9" s="36"/>
      <c r="O9" s="47"/>
      <c r="P9" s="36"/>
      <c r="Q9" s="89" t="str">
        <v>Fri 18 Jun 14:00 (BBC)</v>
      </c>
      <c r="R9" s="68" t="str">
        <v>Sweden</v>
      </c>
      <c r="S9" s="69" t="str">
        <v/>
      </c>
      <c r="T9" s="70" t="str">
        <v xml:space="preserve"> - </v>
      </c>
      <c r="U9" s="69" t="str">
        <v/>
      </c>
      <c r="V9" s="71" t="str">
        <v>Slovakia</v>
      </c>
      <c r="W9" s="72" t="str">
        <v>Krestovsky Stadium (RUS)</v>
      </c>
      <c r="X9" s="42"/>
      <c r="Y9" s="45"/>
    </row>
    <row r="10" spans="2:56" ht="17.25" x14ac:dyDescent="0.3">
      <c r="B10" s="42"/>
      <c r="C10" s="64">
        <v>3</v>
      </c>
      <c r="D10" s="65" t="str">
        <f ca="1"/>
        <v>Sweden</v>
      </c>
      <c r="E10" s="66">
        <f ca="1"/>
        <v>0</v>
      </c>
      <c r="F10" s="66">
        <f ca="1"/>
        <v>0</v>
      </c>
      <c r="G10" s="66">
        <f ca="1"/>
        <v>0</v>
      </c>
      <c r="H10" s="66">
        <f ca="1"/>
        <v>0</v>
      </c>
      <c r="I10" s="66">
        <f ca="1"/>
        <v>0</v>
      </c>
      <c r="J10" s="66">
        <f ca="1"/>
        <v>0</v>
      </c>
      <c r="K10" s="66">
        <f ca="1"/>
        <v>0</v>
      </c>
      <c r="L10" s="67">
        <f ca="1"/>
        <v>0</v>
      </c>
      <c r="M10" s="92" t="str">
        <f ca="1"/>
        <v>Euro Qualifier Rank</v>
      </c>
      <c r="N10" s="36"/>
      <c r="O10" s="47"/>
      <c r="P10" s="36"/>
      <c r="Q10" s="90" t="str">
        <v>Sat 19 Jun 20:00 (BBC)</v>
      </c>
      <c r="R10" s="73" t="str">
        <v>Spain</v>
      </c>
      <c r="S10" s="74" t="str">
        <v/>
      </c>
      <c r="T10" s="75" t="str">
        <v xml:space="preserve"> - </v>
      </c>
      <c r="U10" s="74" t="str">
        <v/>
      </c>
      <c r="V10" s="76" t="str">
        <v>Poland</v>
      </c>
      <c r="W10" s="77" t="str">
        <v>La Cartuja (SPA)</v>
      </c>
      <c r="X10" s="42"/>
      <c r="Y10" s="45"/>
    </row>
    <row r="11" spans="2:56" ht="17.25" x14ac:dyDescent="0.3">
      <c r="B11" s="42"/>
      <c r="C11" s="64">
        <v>4</v>
      </c>
      <c r="D11" s="65" t="str">
        <f ca="1"/>
        <v>Slovakia</v>
      </c>
      <c r="E11" s="66">
        <f ca="1"/>
        <v>0</v>
      </c>
      <c r="F11" s="66">
        <f ca="1"/>
        <v>0</v>
      </c>
      <c r="G11" s="66">
        <f ca="1"/>
        <v>0</v>
      </c>
      <c r="H11" s="66">
        <f ca="1"/>
        <v>0</v>
      </c>
      <c r="I11" s="66">
        <f ca="1"/>
        <v>0</v>
      </c>
      <c r="J11" s="66">
        <f ca="1"/>
        <v>0</v>
      </c>
      <c r="K11" s="66">
        <f ca="1"/>
        <v>0</v>
      </c>
      <c r="L11" s="67">
        <f ca="1"/>
        <v>0</v>
      </c>
      <c r="M11" s="92" t="str">
        <f ca="1"/>
        <v>Euro Qualifier Rank</v>
      </c>
      <c r="N11" s="36"/>
      <c r="O11" s="47"/>
      <c r="P11" s="36"/>
      <c r="Q11" s="89" t="str">
        <v>Wed 23 Jun 17:00 (iTV)</v>
      </c>
      <c r="R11" s="68" t="str">
        <v>Slovakia</v>
      </c>
      <c r="S11" s="69" t="str">
        <v/>
      </c>
      <c r="T11" s="70" t="str">
        <v xml:space="preserve"> - </v>
      </c>
      <c r="U11" s="69" t="str">
        <v/>
      </c>
      <c r="V11" s="71" t="str">
        <v>Spain</v>
      </c>
      <c r="W11" s="72" t="str">
        <v>La Cartuja (SPA)</v>
      </c>
      <c r="X11" s="42"/>
      <c r="Y11" s="45"/>
    </row>
    <row r="12" spans="2:56" ht="17.25" x14ac:dyDescent="0.3">
      <c r="B12" s="42"/>
      <c r="C12" s="36"/>
      <c r="D12" s="36"/>
      <c r="E12" s="37"/>
      <c r="F12" s="37"/>
      <c r="G12" s="37"/>
      <c r="H12" s="37"/>
      <c r="I12" s="37"/>
      <c r="J12" s="37"/>
      <c r="K12" s="37"/>
      <c r="L12" s="37"/>
      <c r="M12" s="38"/>
      <c r="N12" s="36"/>
      <c r="O12" s="47"/>
      <c r="P12" s="36"/>
      <c r="Q12" s="90" t="str">
        <v>Wed 23 Jun 17:00 (iTV)</v>
      </c>
      <c r="R12" s="73" t="str">
        <v>Sweden</v>
      </c>
      <c r="S12" s="74" t="str">
        <v/>
      </c>
      <c r="T12" s="75" t="str">
        <v xml:space="preserve"> - </v>
      </c>
      <c r="U12" s="74" t="str">
        <v/>
      </c>
      <c r="V12" s="76" t="str">
        <v>Poland</v>
      </c>
      <c r="W12" s="77" t="str">
        <v>Krestovsky Stadium (RUS)</v>
      </c>
      <c r="X12" s="42"/>
      <c r="Y12" s="45"/>
    </row>
    <row r="13" spans="2:56" ht="16.5" x14ac:dyDescent="0.3">
      <c r="B13" s="42"/>
      <c r="C13" s="36"/>
      <c r="D13" s="36"/>
      <c r="E13" s="37"/>
      <c r="F13" s="37"/>
      <c r="G13" s="37"/>
      <c r="H13" s="37"/>
      <c r="I13" s="37"/>
      <c r="J13" s="37"/>
      <c r="K13" s="37"/>
      <c r="L13" s="37"/>
      <c r="M13" s="38"/>
      <c r="N13" s="36"/>
      <c r="O13" s="47"/>
      <c r="P13" s="36"/>
      <c r="Q13" s="39"/>
      <c r="R13" s="36"/>
      <c r="S13" s="37"/>
      <c r="T13" s="38"/>
      <c r="U13" s="37"/>
      <c r="V13" s="40"/>
      <c r="W13" s="41"/>
      <c r="X13" s="42"/>
      <c r="Y13" s="45"/>
    </row>
    <row r="14" spans="2:56" ht="16.5" x14ac:dyDescent="0.3">
      <c r="B14" s="45"/>
      <c r="C14" s="47"/>
      <c r="D14" s="47"/>
      <c r="E14" s="48"/>
      <c r="F14" s="48"/>
      <c r="G14" s="48"/>
      <c r="H14" s="48"/>
      <c r="I14" s="48"/>
      <c r="J14" s="48"/>
      <c r="K14" s="48"/>
      <c r="L14" s="48"/>
      <c r="M14" s="49"/>
      <c r="N14" s="47"/>
      <c r="O14" s="47"/>
      <c r="P14" s="47"/>
      <c r="Q14" s="50"/>
      <c r="R14" s="47"/>
      <c r="S14" s="48"/>
      <c r="T14" s="49"/>
      <c r="U14" s="48"/>
      <c r="V14" s="51"/>
      <c r="W14" s="52"/>
      <c r="X14" s="45"/>
      <c r="Y14" s="45"/>
    </row>
    <row r="16" spans="2:56" ht="16.5" x14ac:dyDescent="0.25">
      <c r="C16" s="31" t="s">
        <v>428</v>
      </c>
      <c r="D16" s="32"/>
      <c r="E16" s="48"/>
      <c r="F16" s="30" t="s">
        <v>439</v>
      </c>
      <c r="G16" s="30"/>
      <c r="H16" s="30"/>
      <c r="I16" s="30"/>
      <c r="J16" s="30"/>
      <c r="K16" s="30"/>
      <c r="L16" s="30"/>
    </row>
    <row r="17" spans="3:12" ht="16.5" x14ac:dyDescent="0.25">
      <c r="C17" s="33" t="s">
        <v>429</v>
      </c>
      <c r="D17" s="34"/>
      <c r="E17" s="48"/>
      <c r="F17" s="35" t="s">
        <v>440</v>
      </c>
      <c r="G17" s="35"/>
      <c r="H17" s="35"/>
      <c r="I17" s="35"/>
      <c r="J17" s="35"/>
      <c r="K17" s="35"/>
      <c r="L17" s="35"/>
    </row>
  </sheetData>
  <sheetProtection algorithmName="SHA-512" hashValue="YGS9JuGzUbXIfq1LHdQpEZ6d6bSNmWzev7Tgg/YvQS0eXN6Zb8oTVWUZ4f0j/5+fo7rpH+jfCorqnd2ZKi1DbQ==" saltValue="t675TmBV24gGAvWSbdj+kw==" spinCount="100000" sheet="1" objects="1" scenarios="1" selectLockedCells="1"/>
  <mergeCells count="4">
    <mergeCell ref="C16:D16"/>
    <mergeCell ref="C17:D17"/>
    <mergeCell ref="F16:L16"/>
    <mergeCell ref="F17:L17"/>
  </mergeCells>
  <hyperlinks>
    <hyperlink ref="W2" location="'Index &amp; Summary'!A1" display="Index" xr:uid="{1D1C1347-F109-4988-84CB-79900EC4B2F3}"/>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3954EDC0-7072-40F2-B325-749E4F4BD71F}">
            <xm:f>SUM('Group A'!$F$52:$F$55)=12</xm:f>
            <x14:dxf>
              <font>
                <color theme="0"/>
              </font>
              <fill>
                <patternFill>
                  <bgColor theme="9" tint="-0.24994659260841701"/>
                </patternFill>
              </fill>
            </x14:dxf>
          </x14:cfRule>
          <xm:sqref>C8:M9</xm:sqref>
        </x14:conditionalFormatting>
        <x14:conditionalFormatting xmlns:xm="http://schemas.microsoft.com/office/excel/2006/main">
          <x14:cfRule type="expression" priority="2" id="{669B3B09-89FB-4545-9CA5-AC56BDE15733}">
            <xm:f>AND('Group A'!$AE$54,'Group A'!$F$80=18)</xm:f>
            <x14:dxf>
              <font>
                <color theme="0"/>
              </font>
              <fill>
                <patternFill>
                  <bgColor theme="4" tint="-0.24994659260841701"/>
                </patternFill>
              </fill>
            </x14:dxf>
          </x14:cfRule>
          <x14:cfRule type="expression" priority="3" id="{BD1C4094-8431-4F25-AAF5-5A2BC91DED49}">
            <xm:f>'Group A'!$AE$54</xm:f>
            <x14:dxf>
              <fill>
                <patternFill>
                  <bgColor theme="4" tint="0.79998168889431442"/>
                </patternFill>
              </fill>
            </x14:dxf>
          </x14:cfRule>
          <xm:sqref>C10:M10</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19CBB-A2C7-4E04-AF93-3C584FDA8C3D}">
  <dimension ref="B2:BD17"/>
  <sheetViews>
    <sheetView showRowColHeaders="0" zoomScale="85" zoomScaleNormal="85" workbookViewId="0">
      <pane xSplit="35" ySplit="44" topLeftCell="AJ45" activePane="bottomRight" state="frozenSplit"/>
      <selection pane="topRight" activeCell="AJ1" sqref="AJ1"/>
      <selection pane="bottomLeft" activeCell="A45" sqref="A45"/>
      <selection pane="bottomRight" activeCell="W2" sqref="W2"/>
    </sheetView>
  </sheetViews>
  <sheetFormatPr defaultRowHeight="15" x14ac:dyDescent="0.25"/>
  <cols>
    <col min="1" max="1" width="2.85546875" style="53" customWidth="1"/>
    <col min="2" max="2" width="2.140625" style="53" customWidth="1"/>
    <col min="3" max="3" width="6.7109375" style="53" customWidth="1"/>
    <col min="4" max="4" width="21.5703125" style="53" customWidth="1"/>
    <col min="5" max="12" width="4.28515625" style="53" customWidth="1"/>
    <col min="13" max="13" width="25.42578125" style="53" customWidth="1"/>
    <col min="14" max="14" width="2.140625" style="53" customWidth="1"/>
    <col min="15" max="15" width="3.85546875" style="53" customWidth="1"/>
    <col min="16" max="16" width="2.140625" style="53" customWidth="1"/>
    <col min="17" max="17" width="22.85546875" style="53" customWidth="1"/>
    <col min="18" max="18" width="19.7109375" style="53" customWidth="1"/>
    <col min="19" max="19" width="7.140625" style="53" customWidth="1"/>
    <col min="20" max="20" width="2.42578125" style="53" bestFit="1" customWidth="1"/>
    <col min="21" max="21" width="7.140625" style="53" customWidth="1"/>
    <col min="22" max="22" width="19.7109375" style="53" customWidth="1"/>
    <col min="23" max="23" width="22.85546875" style="53" customWidth="1"/>
    <col min="24" max="24" width="2.140625" style="53" customWidth="1"/>
    <col min="25" max="43" width="9.140625" style="53"/>
    <col min="44" max="44" width="2.85546875" style="53" customWidth="1"/>
    <col min="45" max="45" width="2.140625" style="53" customWidth="1"/>
    <col min="46" max="46" width="9.140625" style="53"/>
    <col min="47" max="47" width="21.5703125" style="53" customWidth="1"/>
    <col min="48" max="55" width="4.28515625" style="53" customWidth="1"/>
    <col min="56" max="56" width="9.140625" style="53"/>
    <col min="57" max="57" width="2.140625" style="53" customWidth="1"/>
    <col min="58" max="58" width="9.140625" style="53"/>
    <col min="59" max="59" width="2.140625" style="53" customWidth="1"/>
    <col min="60" max="61" width="9.140625" style="53"/>
    <col min="62" max="62" width="7.140625" style="53" customWidth="1"/>
    <col min="63" max="63" width="9.140625" style="53"/>
    <col min="64" max="64" width="7.140625" style="53" customWidth="1"/>
    <col min="65" max="66" width="9.140625" style="53"/>
    <col min="67" max="67" width="2.140625" style="53" customWidth="1"/>
    <col min="68" max="16384" width="9.140625" style="53"/>
  </cols>
  <sheetData>
    <row r="2" spans="2:56" x14ac:dyDescent="0.25">
      <c r="W2" s="104" t="s">
        <v>504</v>
      </c>
    </row>
    <row r="4" spans="2:56" ht="16.5" x14ac:dyDescent="0.3">
      <c r="B4" s="45"/>
      <c r="C4" s="47"/>
      <c r="D4" s="47"/>
      <c r="E4" s="48"/>
      <c r="F4" s="48"/>
      <c r="G4" s="48"/>
      <c r="H4" s="48"/>
      <c r="I4" s="48"/>
      <c r="J4" s="48"/>
      <c r="K4" s="48"/>
      <c r="L4" s="48"/>
      <c r="M4" s="49"/>
      <c r="N4" s="47"/>
      <c r="O4" s="47"/>
      <c r="P4" s="47"/>
      <c r="Q4" s="50"/>
      <c r="R4" s="47"/>
      <c r="S4" s="48"/>
      <c r="T4" s="49"/>
      <c r="U4" s="48"/>
      <c r="V4" s="51"/>
      <c r="W4" s="52"/>
      <c r="X4" s="45"/>
      <c r="Y4" s="45"/>
    </row>
    <row r="5" spans="2:56" ht="16.5" x14ac:dyDescent="0.3">
      <c r="B5" s="45"/>
      <c r="C5" s="47"/>
      <c r="D5" s="47"/>
      <c r="E5" s="48"/>
      <c r="F5" s="48"/>
      <c r="G5" s="48"/>
      <c r="H5" s="48"/>
      <c r="I5" s="48"/>
      <c r="J5" s="48"/>
      <c r="K5" s="48"/>
      <c r="L5" s="48"/>
      <c r="M5" s="49"/>
      <c r="N5" s="47"/>
      <c r="O5" s="47"/>
      <c r="P5" s="47"/>
      <c r="Q5" s="50"/>
      <c r="R5" s="47"/>
      <c r="S5" s="48"/>
      <c r="T5" s="49"/>
      <c r="U5" s="48"/>
      <c r="V5" s="51"/>
      <c r="W5" s="52"/>
      <c r="X5" s="45"/>
      <c r="Y5" s="45"/>
    </row>
    <row r="6" spans="2:56" ht="16.5" x14ac:dyDescent="0.3">
      <c r="B6" s="42"/>
      <c r="C6" s="36"/>
      <c r="D6" s="36"/>
      <c r="E6" s="37"/>
      <c r="F6" s="37"/>
      <c r="G6" s="37"/>
      <c r="H6" s="37"/>
      <c r="I6" s="37"/>
      <c r="J6" s="37"/>
      <c r="K6" s="37"/>
      <c r="L6" s="37"/>
      <c r="M6" s="38"/>
      <c r="N6" s="36"/>
      <c r="O6" s="47"/>
      <c r="P6" s="36"/>
      <c r="Q6" s="39"/>
      <c r="R6" s="36"/>
      <c r="S6" s="37"/>
      <c r="T6" s="38"/>
      <c r="U6" s="37"/>
      <c r="V6" s="40"/>
      <c r="W6" s="41"/>
      <c r="X6" s="42"/>
      <c r="Y6" s="45"/>
    </row>
    <row r="7" spans="2:56" ht="17.25" x14ac:dyDescent="0.3">
      <c r="B7" s="42"/>
      <c r="C7" s="157" t="s">
        <v>338</v>
      </c>
      <c r="D7" s="158" t="s">
        <v>24</v>
      </c>
      <c r="E7" s="157" t="s">
        <v>54</v>
      </c>
      <c r="F7" s="157" t="s">
        <v>55</v>
      </c>
      <c r="G7" s="157" t="s">
        <v>34</v>
      </c>
      <c r="H7" s="157" t="s">
        <v>29</v>
      </c>
      <c r="I7" s="157" t="s">
        <v>56</v>
      </c>
      <c r="J7" s="157" t="s">
        <v>57</v>
      </c>
      <c r="K7" s="157" t="s">
        <v>329</v>
      </c>
      <c r="L7" s="157" t="s">
        <v>59</v>
      </c>
      <c r="M7" s="157" t="s">
        <v>524</v>
      </c>
      <c r="N7" s="36"/>
      <c r="O7" s="47"/>
      <c r="P7" s="36"/>
      <c r="Q7" s="89" t="str">
        <f t="array" ref="Q7:S12">'Group A'!AI63:AK68</f>
        <v>Tue 15 Jun 17:00 (iTV)</v>
      </c>
      <c r="R7" s="68" t="str">
        <v>Hungary</v>
      </c>
      <c r="S7" s="69" t="str">
        <v/>
      </c>
      <c r="T7" s="70" t="str">
        <f t="array" ref="T7:T12">'Group A'!AQ63:AQ68</f>
        <v xml:space="preserve"> - </v>
      </c>
      <c r="U7" s="69" t="str">
        <f t="array" ref="U7:W12">'Group A'!AN63:AP68</f>
        <v/>
      </c>
      <c r="V7" s="71" t="str">
        <v>Portugal</v>
      </c>
      <c r="W7" s="72" t="str">
        <v>Puskas Arena (HUN)</v>
      </c>
      <c r="X7" s="42"/>
      <c r="Y7" s="45"/>
      <c r="AT7" s="157" t="s">
        <v>338</v>
      </c>
      <c r="AU7" s="158" t="s">
        <v>24</v>
      </c>
      <c r="AV7" s="157" t="s">
        <v>54</v>
      </c>
      <c r="AW7" s="157" t="s">
        <v>55</v>
      </c>
      <c r="AX7" s="157" t="s">
        <v>34</v>
      </c>
      <c r="AY7" s="157" t="s">
        <v>29</v>
      </c>
      <c r="AZ7" s="157" t="s">
        <v>56</v>
      </c>
      <c r="BA7" s="157" t="s">
        <v>57</v>
      </c>
      <c r="BB7" s="157" t="s">
        <v>329</v>
      </c>
      <c r="BC7" s="157" t="s">
        <v>59</v>
      </c>
      <c r="BD7" s="157" t="s">
        <v>524</v>
      </c>
    </row>
    <row r="8" spans="2:56" ht="17.25" x14ac:dyDescent="0.3">
      <c r="B8" s="42"/>
      <c r="C8" s="60">
        <f t="array" ref="C8:L11">'Group A'!D63:M66</f>
        <v>1</v>
      </c>
      <c r="D8" s="61" t="str">
        <f ca="1"/>
        <v>Germany</v>
      </c>
      <c r="E8" s="62">
        <f ca="1"/>
        <v>0</v>
      </c>
      <c r="F8" s="62">
        <f ca="1"/>
        <v>0</v>
      </c>
      <c r="G8" s="62">
        <f ca="1"/>
        <v>0</v>
      </c>
      <c r="H8" s="62">
        <f ca="1"/>
        <v>0</v>
      </c>
      <c r="I8" s="62">
        <f ca="1"/>
        <v>0</v>
      </c>
      <c r="J8" s="62">
        <f ca="1"/>
        <v>0</v>
      </c>
      <c r="K8" s="62">
        <f ca="1"/>
        <v>0</v>
      </c>
      <c r="L8" s="63">
        <f ca="1"/>
        <v>0</v>
      </c>
      <c r="M8" s="91" t="str">
        <f t="array" aca="1" ref="M8:M11" ca="1">'Group A'!AD63:AD66</f>
        <v>Euro Qualifier Rank</v>
      </c>
      <c r="N8" s="36"/>
      <c r="O8" s="47"/>
      <c r="P8" s="36"/>
      <c r="Q8" s="90" t="str">
        <v>Tue 15 Jun 20:00 (iTV)</v>
      </c>
      <c r="R8" s="73" t="str">
        <v>France</v>
      </c>
      <c r="S8" s="74" t="str">
        <v/>
      </c>
      <c r="T8" s="75" t="str">
        <v xml:space="preserve"> - </v>
      </c>
      <c r="U8" s="74" t="str">
        <v/>
      </c>
      <c r="V8" s="76" t="str">
        <v>Germany</v>
      </c>
      <c r="W8" s="77" t="str">
        <v>Allianz Arena (GER)</v>
      </c>
      <c r="X8" s="42"/>
      <c r="Y8" s="45"/>
    </row>
    <row r="9" spans="2:56" ht="17.25" x14ac:dyDescent="0.3">
      <c r="B9" s="42"/>
      <c r="C9" s="60">
        <v>2</v>
      </c>
      <c r="D9" s="61" t="str">
        <f ca="1"/>
        <v>France</v>
      </c>
      <c r="E9" s="62">
        <f ca="1"/>
        <v>0</v>
      </c>
      <c r="F9" s="62">
        <f ca="1"/>
        <v>0</v>
      </c>
      <c r="G9" s="62">
        <f ca="1"/>
        <v>0</v>
      </c>
      <c r="H9" s="62">
        <f ca="1"/>
        <v>0</v>
      </c>
      <c r="I9" s="62">
        <f ca="1"/>
        <v>0</v>
      </c>
      <c r="J9" s="62">
        <f ca="1"/>
        <v>0</v>
      </c>
      <c r="K9" s="62">
        <f ca="1"/>
        <v>0</v>
      </c>
      <c r="L9" s="63">
        <f ca="1"/>
        <v>0</v>
      </c>
      <c r="M9" s="91" t="str">
        <f ca="1"/>
        <v>Euro Qualifier Rank</v>
      </c>
      <c r="N9" s="36"/>
      <c r="O9" s="47"/>
      <c r="P9" s="36"/>
      <c r="Q9" s="89" t="str">
        <v>Sat 19 Jun 14:00 (BBC)</v>
      </c>
      <c r="R9" s="68" t="str">
        <v>Hungary</v>
      </c>
      <c r="S9" s="69" t="str">
        <v/>
      </c>
      <c r="T9" s="70" t="str">
        <v xml:space="preserve"> - </v>
      </c>
      <c r="U9" s="69" t="str">
        <v/>
      </c>
      <c r="V9" s="71" t="str">
        <v>France</v>
      </c>
      <c r="W9" s="72" t="str">
        <v>Puskas Arena (HUN)</v>
      </c>
      <c r="X9" s="42"/>
      <c r="Y9" s="45"/>
    </row>
    <row r="10" spans="2:56" ht="17.25" x14ac:dyDescent="0.3">
      <c r="B10" s="42"/>
      <c r="C10" s="64">
        <v>3</v>
      </c>
      <c r="D10" s="65" t="str">
        <f ca="1"/>
        <v>Portugal</v>
      </c>
      <c r="E10" s="66">
        <f ca="1"/>
        <v>0</v>
      </c>
      <c r="F10" s="66">
        <f ca="1"/>
        <v>0</v>
      </c>
      <c r="G10" s="66">
        <f ca="1"/>
        <v>0</v>
      </c>
      <c r="H10" s="66">
        <f ca="1"/>
        <v>0</v>
      </c>
      <c r="I10" s="66">
        <f ca="1"/>
        <v>0</v>
      </c>
      <c r="J10" s="66">
        <f ca="1"/>
        <v>0</v>
      </c>
      <c r="K10" s="66">
        <f ca="1"/>
        <v>0</v>
      </c>
      <c r="L10" s="67">
        <f ca="1"/>
        <v>0</v>
      </c>
      <c r="M10" s="92" t="str">
        <f ca="1"/>
        <v>Euro Qualifier Rank</v>
      </c>
      <c r="N10" s="36"/>
      <c r="O10" s="47"/>
      <c r="P10" s="36"/>
      <c r="Q10" s="90" t="str">
        <v>Sat 19 Jun 17:00 (iTV)</v>
      </c>
      <c r="R10" s="73" t="str">
        <v>Portugal</v>
      </c>
      <c r="S10" s="74" t="str">
        <v/>
      </c>
      <c r="T10" s="75" t="str">
        <v xml:space="preserve"> - </v>
      </c>
      <c r="U10" s="74" t="str">
        <v/>
      </c>
      <c r="V10" s="76" t="str">
        <v>Germany</v>
      </c>
      <c r="W10" s="77" t="str">
        <v>Allianz Arena (GER)</v>
      </c>
      <c r="X10" s="42"/>
      <c r="Y10" s="45"/>
    </row>
    <row r="11" spans="2:56" ht="17.25" x14ac:dyDescent="0.3">
      <c r="B11" s="42"/>
      <c r="C11" s="64">
        <v>4</v>
      </c>
      <c r="D11" s="65" t="str">
        <f ca="1"/>
        <v>Hungary</v>
      </c>
      <c r="E11" s="66">
        <f ca="1"/>
        <v>0</v>
      </c>
      <c r="F11" s="66">
        <f ca="1"/>
        <v>0</v>
      </c>
      <c r="G11" s="66">
        <f ca="1"/>
        <v>0</v>
      </c>
      <c r="H11" s="66">
        <f ca="1"/>
        <v>0</v>
      </c>
      <c r="I11" s="66">
        <f ca="1"/>
        <v>0</v>
      </c>
      <c r="J11" s="66">
        <f ca="1"/>
        <v>0</v>
      </c>
      <c r="K11" s="66">
        <f ca="1"/>
        <v>0</v>
      </c>
      <c r="L11" s="67">
        <f ca="1"/>
        <v>0</v>
      </c>
      <c r="M11" s="92" t="str">
        <f ca="1"/>
        <v>Euro Qualifier Rank</v>
      </c>
      <c r="N11" s="36"/>
      <c r="O11" s="47"/>
      <c r="P11" s="36"/>
      <c r="Q11" s="89" t="str">
        <v>Wed 23 Jun 20:00 (BBC)</v>
      </c>
      <c r="R11" s="68" t="str">
        <v>Portugal</v>
      </c>
      <c r="S11" s="69" t="str">
        <v/>
      </c>
      <c r="T11" s="70" t="str">
        <v xml:space="preserve"> - </v>
      </c>
      <c r="U11" s="69" t="str">
        <v/>
      </c>
      <c r="V11" s="71" t="str">
        <v>France</v>
      </c>
      <c r="W11" s="72" t="str">
        <v>Puskas Arena (HUN)</v>
      </c>
      <c r="X11" s="42"/>
      <c r="Y11" s="45"/>
    </row>
    <row r="12" spans="2:56" ht="17.25" x14ac:dyDescent="0.3">
      <c r="B12" s="42"/>
      <c r="C12" s="36"/>
      <c r="D12" s="36"/>
      <c r="E12" s="37"/>
      <c r="F12" s="37"/>
      <c r="G12" s="37"/>
      <c r="H12" s="37"/>
      <c r="I12" s="37"/>
      <c r="J12" s="37"/>
      <c r="K12" s="37"/>
      <c r="L12" s="37"/>
      <c r="M12" s="38"/>
      <c r="N12" s="36"/>
      <c r="O12" s="47"/>
      <c r="P12" s="36"/>
      <c r="Q12" s="90" t="str">
        <v>Wed 23 Jun 20:00 (BBC)</v>
      </c>
      <c r="R12" s="73" t="str">
        <v>Germany</v>
      </c>
      <c r="S12" s="74" t="str">
        <v/>
      </c>
      <c r="T12" s="75" t="str">
        <v xml:space="preserve"> - </v>
      </c>
      <c r="U12" s="74" t="str">
        <v/>
      </c>
      <c r="V12" s="76" t="str">
        <v>Hungary</v>
      </c>
      <c r="W12" s="77" t="str">
        <v>Allianz Arena (GER)</v>
      </c>
      <c r="X12" s="42"/>
      <c r="Y12" s="45"/>
    </row>
    <row r="13" spans="2:56" ht="16.5" x14ac:dyDescent="0.3">
      <c r="B13" s="42"/>
      <c r="C13" s="36"/>
      <c r="D13" s="36"/>
      <c r="E13" s="37"/>
      <c r="F13" s="37"/>
      <c r="G13" s="37"/>
      <c r="H13" s="37"/>
      <c r="I13" s="37"/>
      <c r="J13" s="37"/>
      <c r="K13" s="37"/>
      <c r="L13" s="37"/>
      <c r="M13" s="38"/>
      <c r="N13" s="36"/>
      <c r="O13" s="47"/>
      <c r="P13" s="36"/>
      <c r="Q13" s="39"/>
      <c r="R13" s="36"/>
      <c r="S13" s="37"/>
      <c r="T13" s="38"/>
      <c r="U13" s="37"/>
      <c r="V13" s="40"/>
      <c r="W13" s="41"/>
      <c r="X13" s="42"/>
      <c r="Y13" s="45"/>
    </row>
    <row r="14" spans="2:56" ht="16.5" x14ac:dyDescent="0.3">
      <c r="B14" s="45"/>
      <c r="C14" s="47"/>
      <c r="D14" s="47"/>
      <c r="E14" s="48"/>
      <c r="F14" s="48"/>
      <c r="G14" s="48"/>
      <c r="H14" s="48"/>
      <c r="I14" s="48"/>
      <c r="J14" s="48"/>
      <c r="K14" s="48"/>
      <c r="L14" s="48"/>
      <c r="M14" s="49"/>
      <c r="N14" s="47"/>
      <c r="O14" s="47"/>
      <c r="P14" s="47"/>
      <c r="Q14" s="50"/>
      <c r="R14" s="47"/>
      <c r="S14" s="48"/>
      <c r="T14" s="49"/>
      <c r="U14" s="48"/>
      <c r="V14" s="51"/>
      <c r="W14" s="52"/>
      <c r="X14" s="45"/>
      <c r="Y14" s="45"/>
    </row>
    <row r="16" spans="2:56" ht="16.5" x14ac:dyDescent="0.25">
      <c r="C16" s="31" t="s">
        <v>428</v>
      </c>
      <c r="D16" s="32"/>
      <c r="E16" s="48"/>
      <c r="F16" s="30" t="s">
        <v>439</v>
      </c>
      <c r="G16" s="30"/>
      <c r="H16" s="30"/>
      <c r="I16" s="30"/>
      <c r="J16" s="30"/>
      <c r="K16" s="30"/>
      <c r="L16" s="30"/>
    </row>
    <row r="17" spans="3:12" ht="16.5" x14ac:dyDescent="0.25">
      <c r="C17" s="33" t="s">
        <v>429</v>
      </c>
      <c r="D17" s="34"/>
      <c r="E17" s="48"/>
      <c r="F17" s="35" t="s">
        <v>440</v>
      </c>
      <c r="G17" s="35"/>
      <c r="H17" s="35"/>
      <c r="I17" s="35"/>
      <c r="J17" s="35"/>
      <c r="K17" s="35"/>
      <c r="L17" s="35"/>
    </row>
  </sheetData>
  <sheetProtection algorithmName="SHA-512" hashValue="dz7YepJKv5LDUPT6YIJOwrXVAL/zgi15SryovtYCIHI11sXcuqaZcReJlaKyAF/fWCcBbGK2rO020cb2rxknJA==" saltValue="h1m6INZ9WbjzKyA5gbHb3w==" spinCount="100000" sheet="1" objects="1" scenarios="1" selectLockedCells="1"/>
  <mergeCells count="4">
    <mergeCell ref="C16:D16"/>
    <mergeCell ref="C17:D17"/>
    <mergeCell ref="F16:L16"/>
    <mergeCell ref="F17:L17"/>
  </mergeCells>
  <hyperlinks>
    <hyperlink ref="W2" location="'Index &amp; Summary'!A1" display="Index" xr:uid="{1D0DDC0B-4D41-4437-98FF-46C818720341}"/>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78CFF65A-38BD-400A-A22C-5A24F1EEB655}">
            <xm:f>SUM('Group A'!$F$63:$F$66)=12</xm:f>
            <x14:dxf>
              <font>
                <color theme="0" tint="-4.9989318521683403E-2"/>
              </font>
              <fill>
                <patternFill>
                  <bgColor theme="9" tint="-0.24994659260841701"/>
                </patternFill>
              </fill>
            </x14:dxf>
          </x14:cfRule>
          <xm:sqref>C8:M9</xm:sqref>
        </x14:conditionalFormatting>
        <x14:conditionalFormatting xmlns:xm="http://schemas.microsoft.com/office/excel/2006/main">
          <x14:cfRule type="expression" priority="2" id="{6A11D931-091C-40D0-ACDF-ED8C7E1FF9E3}">
            <xm:f>AND('Group A'!$AE$65,'Group A'!$F$80=18)</xm:f>
            <x14:dxf>
              <font>
                <color theme="0" tint="-4.9989318521683403E-2"/>
              </font>
              <fill>
                <patternFill>
                  <bgColor theme="4" tint="-0.24994659260841701"/>
                </patternFill>
              </fill>
            </x14:dxf>
          </x14:cfRule>
          <x14:cfRule type="expression" priority="3" id="{9B09CB6B-67BE-4D60-B004-1851746CF7A9}">
            <xm:f>'Group A'!$AE$65</xm:f>
            <x14:dxf>
              <fill>
                <patternFill>
                  <bgColor theme="4" tint="0.79998168889431442"/>
                </patternFill>
              </fill>
            </x14:dxf>
          </x14:cfRule>
          <xm:sqref>C10:M10</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C099D-65D9-4A5B-85CA-228081A61D9D}">
  <dimension ref="B2:O18"/>
  <sheetViews>
    <sheetView showRowColHeaders="0" zoomScale="85" zoomScaleNormal="85" workbookViewId="0">
      <pane xSplit="31" ySplit="44" topLeftCell="AF45" activePane="bottomRight" state="frozenSplit"/>
      <selection pane="topRight" activeCell="AF1" sqref="AF1"/>
      <selection pane="bottomLeft" activeCell="A45" sqref="A45"/>
      <selection pane="bottomRight" activeCell="M2" sqref="M2"/>
    </sheetView>
  </sheetViews>
  <sheetFormatPr defaultRowHeight="15" x14ac:dyDescent="0.25"/>
  <cols>
    <col min="1" max="1" width="9.140625" style="53"/>
    <col min="2" max="2" width="2.85546875" style="53" customWidth="1"/>
    <col min="3" max="3" width="6.7109375" style="53" customWidth="1"/>
    <col min="4" max="4" width="22.85546875" style="53" customWidth="1"/>
    <col min="5" max="12" width="6.140625" style="53" customWidth="1"/>
    <col min="13" max="13" width="25.42578125" style="53" customWidth="1"/>
    <col min="14" max="14" width="2.85546875" style="53" customWidth="1"/>
    <col min="15" max="15" width="3.85546875" style="53" customWidth="1"/>
    <col min="16" max="16" width="2.85546875" style="53" customWidth="1"/>
    <col min="17" max="17" width="22.42578125" style="53" customWidth="1"/>
    <col min="18" max="18" width="19.7109375" style="53" customWidth="1"/>
    <col min="19" max="19" width="10.7109375" style="53" bestFit="1" customWidth="1"/>
    <col min="20" max="20" width="2.42578125" style="53" bestFit="1" customWidth="1"/>
    <col min="21" max="21" width="10.7109375" style="53" bestFit="1" customWidth="1"/>
    <col min="22" max="22" width="19.7109375" style="53" customWidth="1"/>
    <col min="23" max="23" width="38.28515625" style="53" bestFit="1" customWidth="1"/>
    <col min="24" max="24" width="2.85546875" style="53" customWidth="1"/>
    <col min="25" max="16384" width="9.140625" style="53"/>
  </cols>
  <sheetData>
    <row r="2" spans="2:15" x14ac:dyDescent="0.25">
      <c r="M2" s="104" t="s">
        <v>504</v>
      </c>
    </row>
    <row r="4" spans="2:15" ht="16.5" x14ac:dyDescent="0.3">
      <c r="B4" s="45"/>
      <c r="C4" s="47"/>
      <c r="D4" s="47"/>
      <c r="E4" s="48"/>
      <c r="F4" s="48"/>
      <c r="G4" s="48"/>
      <c r="H4" s="48"/>
      <c r="I4" s="48"/>
      <c r="J4" s="48"/>
      <c r="K4" s="48"/>
      <c r="L4" s="48"/>
      <c r="M4" s="49"/>
      <c r="N4" s="47"/>
      <c r="O4" s="47"/>
    </row>
    <row r="5" spans="2:15" ht="16.5" x14ac:dyDescent="0.3">
      <c r="B5" s="45"/>
      <c r="C5" s="47"/>
      <c r="D5" s="47"/>
      <c r="E5" s="48"/>
      <c r="F5" s="48"/>
      <c r="G5" s="48"/>
      <c r="H5" s="48"/>
      <c r="I5" s="48"/>
      <c r="J5" s="48"/>
      <c r="K5" s="48"/>
      <c r="L5" s="48"/>
      <c r="M5" s="49"/>
      <c r="N5" s="47"/>
      <c r="O5" s="47"/>
    </row>
    <row r="6" spans="2:15" ht="16.5" x14ac:dyDescent="0.3">
      <c r="B6" s="42"/>
      <c r="C6" s="36"/>
      <c r="D6" s="36"/>
      <c r="E6" s="37"/>
      <c r="F6" s="37"/>
      <c r="G6" s="37"/>
      <c r="H6" s="37"/>
      <c r="I6" s="37"/>
      <c r="J6" s="37"/>
      <c r="K6" s="37"/>
      <c r="L6" s="37"/>
      <c r="M6" s="38"/>
      <c r="N6" s="36"/>
      <c r="O6" s="47"/>
    </row>
    <row r="7" spans="2:15" ht="20.25" x14ac:dyDescent="0.3">
      <c r="B7" s="42"/>
      <c r="C7" s="24" t="s">
        <v>338</v>
      </c>
      <c r="D7" s="25" t="s">
        <v>24</v>
      </c>
      <c r="E7" s="24" t="s">
        <v>54</v>
      </c>
      <c r="F7" s="24" t="s">
        <v>55</v>
      </c>
      <c r="G7" s="24" t="s">
        <v>34</v>
      </c>
      <c r="H7" s="24" t="s">
        <v>29</v>
      </c>
      <c r="I7" s="24" t="s">
        <v>56</v>
      </c>
      <c r="J7" s="24" t="s">
        <v>57</v>
      </c>
      <c r="K7" s="24" t="s">
        <v>329</v>
      </c>
      <c r="L7" s="24" t="s">
        <v>59</v>
      </c>
      <c r="M7" s="24" t="s">
        <v>524</v>
      </c>
      <c r="N7" s="36"/>
      <c r="O7" s="47"/>
    </row>
    <row r="8" spans="2:15" ht="17.25" x14ac:dyDescent="0.3">
      <c r="B8" s="42"/>
      <c r="C8" s="60">
        <f t="array" ref="C8:C13">'Group A'!D74:D79</f>
        <v>1</v>
      </c>
      <c r="D8" s="61" t="str">
        <f t="array" aca="1" ref="D8:L13" ca="1">'Group A'!E74:M79</f>
        <v>Portugal</v>
      </c>
      <c r="E8" s="62">
        <f ca="1"/>
        <v>0</v>
      </c>
      <c r="F8" s="62">
        <f ca="1"/>
        <v>0</v>
      </c>
      <c r="G8" s="62">
        <f ca="1"/>
        <v>0</v>
      </c>
      <c r="H8" s="62">
        <f ca="1"/>
        <v>0</v>
      </c>
      <c r="I8" s="62">
        <f ca="1"/>
        <v>0</v>
      </c>
      <c r="J8" s="62">
        <f ca="1"/>
        <v>0</v>
      </c>
      <c r="K8" s="62">
        <f ca="1"/>
        <v>0</v>
      </c>
      <c r="L8" s="63">
        <f ca="1"/>
        <v>0</v>
      </c>
      <c r="M8" s="91" t="str">
        <f t="array" aca="1" ref="M8:M13" ca="1">'Group A'!P74:P79</f>
        <v>Euro Qualifier Rank (13)</v>
      </c>
      <c r="N8" s="36"/>
      <c r="O8" s="47"/>
    </row>
    <row r="9" spans="2:15" ht="17.25" x14ac:dyDescent="0.3">
      <c r="B9" s="42"/>
      <c r="C9" s="60">
        <v>2</v>
      </c>
      <c r="D9" s="61" t="str">
        <f ca="1"/>
        <v>Turkey</v>
      </c>
      <c r="E9" s="62">
        <f ca="1"/>
        <v>0</v>
      </c>
      <c r="F9" s="62">
        <f ca="1"/>
        <v>0</v>
      </c>
      <c r="G9" s="62">
        <f ca="1"/>
        <v>0</v>
      </c>
      <c r="H9" s="62">
        <f ca="1"/>
        <v>0</v>
      </c>
      <c r="I9" s="62">
        <f ca="1"/>
        <v>0</v>
      </c>
      <c r="J9" s="62">
        <f ca="1"/>
        <v>0</v>
      </c>
      <c r="K9" s="62">
        <f ca="1"/>
        <v>0</v>
      </c>
      <c r="L9" s="63">
        <f ca="1"/>
        <v>0</v>
      </c>
      <c r="M9" s="91" t="str">
        <f ca="1"/>
        <v>Euro Qualifier Rank (14)</v>
      </c>
      <c r="N9" s="36"/>
      <c r="O9" s="47"/>
    </row>
    <row r="10" spans="2:15" ht="17.25" x14ac:dyDescent="0.3">
      <c r="B10" s="42"/>
      <c r="C10" s="60">
        <v>3</v>
      </c>
      <c r="D10" s="61" t="str">
        <f ca="1"/>
        <v>Denmark</v>
      </c>
      <c r="E10" s="62">
        <f ca="1"/>
        <v>0</v>
      </c>
      <c r="F10" s="62">
        <f ca="1"/>
        <v>0</v>
      </c>
      <c r="G10" s="62">
        <f ca="1"/>
        <v>0</v>
      </c>
      <c r="H10" s="62">
        <f ca="1"/>
        <v>0</v>
      </c>
      <c r="I10" s="62">
        <f ca="1"/>
        <v>0</v>
      </c>
      <c r="J10" s="62">
        <f ca="1"/>
        <v>0</v>
      </c>
      <c r="K10" s="62">
        <f ca="1"/>
        <v>0</v>
      </c>
      <c r="L10" s="63">
        <f ca="1"/>
        <v>0</v>
      </c>
      <c r="M10" s="91" t="str">
        <f ca="1"/>
        <v>Euro Qualifier Rank (15)</v>
      </c>
      <c r="N10" s="36"/>
      <c r="O10" s="47"/>
    </row>
    <row r="11" spans="2:15" ht="17.25" x14ac:dyDescent="0.3">
      <c r="B11" s="42"/>
      <c r="C11" s="60">
        <v>4</v>
      </c>
      <c r="D11" s="61" t="str">
        <f ca="1"/>
        <v>Austria</v>
      </c>
      <c r="E11" s="62">
        <f ca="1"/>
        <v>0</v>
      </c>
      <c r="F11" s="62">
        <f ca="1"/>
        <v>0</v>
      </c>
      <c r="G11" s="62">
        <f ca="1"/>
        <v>0</v>
      </c>
      <c r="H11" s="62">
        <f ca="1"/>
        <v>0</v>
      </c>
      <c r="I11" s="62">
        <f ca="1"/>
        <v>0</v>
      </c>
      <c r="J11" s="62">
        <f ca="1"/>
        <v>0</v>
      </c>
      <c r="K11" s="62">
        <f ca="1"/>
        <v>0</v>
      </c>
      <c r="L11" s="63">
        <f ca="1"/>
        <v>0</v>
      </c>
      <c r="M11" s="91" t="str">
        <f ca="1"/>
        <v>Euro Qualifier Rank (16)</v>
      </c>
      <c r="N11" s="36"/>
      <c r="O11" s="47"/>
    </row>
    <row r="12" spans="2:15" ht="17.25" x14ac:dyDescent="0.3">
      <c r="B12" s="42"/>
      <c r="C12" s="64">
        <v>5</v>
      </c>
      <c r="D12" s="65" t="str">
        <f ca="1"/>
        <v>Sweden</v>
      </c>
      <c r="E12" s="66">
        <f ca="1"/>
        <v>0</v>
      </c>
      <c r="F12" s="66">
        <f ca="1"/>
        <v>0</v>
      </c>
      <c r="G12" s="66">
        <f ca="1"/>
        <v>0</v>
      </c>
      <c r="H12" s="66">
        <f ca="1"/>
        <v>0</v>
      </c>
      <c r="I12" s="66">
        <f ca="1"/>
        <v>0</v>
      </c>
      <c r="J12" s="66">
        <f ca="1"/>
        <v>0</v>
      </c>
      <c r="K12" s="66">
        <f ca="1"/>
        <v>0</v>
      </c>
      <c r="L12" s="67">
        <f ca="1"/>
        <v>0</v>
      </c>
      <c r="M12" s="92" t="str">
        <f ca="1"/>
        <v>Euro Qualifier Rank (17)</v>
      </c>
      <c r="N12" s="36"/>
      <c r="O12" s="47"/>
    </row>
    <row r="13" spans="2:15" ht="17.25" x14ac:dyDescent="0.3">
      <c r="B13" s="42"/>
      <c r="C13" s="64">
        <v>6</v>
      </c>
      <c r="D13" s="65" t="str">
        <f ca="1"/>
        <v>Czech Republic</v>
      </c>
      <c r="E13" s="66">
        <f ca="1"/>
        <v>0</v>
      </c>
      <c r="F13" s="66">
        <f ca="1"/>
        <v>0</v>
      </c>
      <c r="G13" s="66">
        <f ca="1"/>
        <v>0</v>
      </c>
      <c r="H13" s="66">
        <f ca="1"/>
        <v>0</v>
      </c>
      <c r="I13" s="66">
        <f ca="1"/>
        <v>0</v>
      </c>
      <c r="J13" s="66">
        <f ca="1"/>
        <v>0</v>
      </c>
      <c r="K13" s="66">
        <f ca="1"/>
        <v>0</v>
      </c>
      <c r="L13" s="67">
        <f ca="1"/>
        <v>0</v>
      </c>
      <c r="M13" s="92" t="str">
        <f ca="1"/>
        <v>Euro Qualifier Rank (18)</v>
      </c>
      <c r="N13" s="36"/>
      <c r="O13" s="47"/>
    </row>
    <row r="14" spans="2:15" ht="16.5" x14ac:dyDescent="0.3">
      <c r="B14" s="42"/>
      <c r="C14" s="36"/>
      <c r="D14" s="36"/>
      <c r="E14" s="37"/>
      <c r="F14" s="37"/>
      <c r="G14" s="37"/>
      <c r="H14" s="37"/>
      <c r="I14" s="37"/>
      <c r="J14" s="37"/>
      <c r="K14" s="37"/>
      <c r="L14" s="37"/>
      <c r="M14" s="38"/>
      <c r="N14" s="36"/>
      <c r="O14" s="47"/>
    </row>
    <row r="15" spans="2:15" ht="16.5" x14ac:dyDescent="0.3">
      <c r="B15" s="45"/>
      <c r="C15" s="47"/>
      <c r="D15" s="47"/>
      <c r="E15" s="48"/>
      <c r="F15" s="48"/>
      <c r="G15" s="48"/>
      <c r="H15" s="48"/>
      <c r="I15" s="48"/>
      <c r="J15" s="48"/>
      <c r="K15" s="48"/>
      <c r="L15" s="48"/>
      <c r="M15" s="49"/>
      <c r="N15" s="47"/>
      <c r="O15" s="47"/>
    </row>
    <row r="17" spans="3:7" ht="16.5" x14ac:dyDescent="0.25">
      <c r="C17" s="30" t="s">
        <v>502</v>
      </c>
      <c r="D17" s="30"/>
      <c r="E17" s="30"/>
      <c r="F17" s="30"/>
      <c r="G17" s="30"/>
    </row>
    <row r="18" spans="3:7" ht="16.5" x14ac:dyDescent="0.25">
      <c r="C18" s="58" t="s">
        <v>503</v>
      </c>
      <c r="D18" s="59"/>
      <c r="E18" s="59"/>
      <c r="F18" s="59"/>
      <c r="G18" s="59"/>
    </row>
  </sheetData>
  <sheetProtection algorithmName="SHA-512" hashValue="umHE2CB2GTW4SZI/B6Tav6ivpXfhU9k0joyoQ8+Pg3n+Vak3fAzDuugJ44CfUjVGy30k8/hoh14PcDRWJI+ysQ==" saltValue="zDQZQVXuX2ly6WMFIygPKw==" spinCount="100000" sheet="1" objects="1" scenarios="1" selectLockedCells="1"/>
  <mergeCells count="2">
    <mergeCell ref="C17:G17"/>
    <mergeCell ref="C18:G18"/>
  </mergeCells>
  <hyperlinks>
    <hyperlink ref="M2" location="'Index &amp; Summary'!A1" display="Index" xr:uid="{65BE1C32-7659-4D90-9534-14235864852B}"/>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51DE5446-4D03-42C9-95A7-48EB97347DB6}">
            <xm:f>'Group A'!$F$80=18</xm:f>
            <x14:dxf>
              <font>
                <color theme="0"/>
              </font>
              <fill>
                <patternFill>
                  <bgColor theme="9" tint="-0.24994659260841701"/>
                </patternFill>
              </fill>
            </x14:dxf>
          </x14:cfRule>
          <xm:sqref>C8:M11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079B7-8443-4EED-BFC1-1C1D0870E4DE}">
  <dimension ref="A1:FM70"/>
  <sheetViews>
    <sheetView showGridLines="0" showRowColHeaders="0" topLeftCell="CB1" zoomScale="70" zoomScaleNormal="70" workbookViewId="0">
      <pane xSplit="44" ySplit="49" topLeftCell="DT50" activePane="bottomRight" state="frozenSplit"/>
      <selection activeCell="CB1" sqref="CB1"/>
      <selection pane="topRight" activeCell="DT1" sqref="DT1"/>
      <selection pane="bottomLeft" activeCell="CB50" sqref="CB50"/>
      <selection pane="bottomRight" activeCell="DB2" sqref="DB2"/>
    </sheetView>
  </sheetViews>
  <sheetFormatPr defaultRowHeight="16.5" x14ac:dyDescent="0.3"/>
  <cols>
    <col min="1" max="1" width="20" style="55" hidden="1" customWidth="1"/>
    <col min="2" max="2" width="12.5703125" style="55" hidden="1" customWidth="1"/>
    <col min="3" max="3" width="19" style="55" hidden="1" customWidth="1"/>
    <col min="4" max="6" width="16.28515625" style="55" hidden="1" customWidth="1"/>
    <col min="7" max="11" width="18.140625" style="55" hidden="1" customWidth="1"/>
    <col min="12" max="12" width="43" style="55" hidden="1" customWidth="1"/>
    <col min="13" max="13" width="9.140625" style="55" hidden="1" customWidth="1"/>
    <col min="14" max="14" width="35.7109375" style="55" hidden="1" customWidth="1"/>
    <col min="15" max="18" width="5.7109375" style="55" hidden="1" customWidth="1"/>
    <col min="19" max="19" width="8.42578125" style="55" hidden="1" customWidth="1"/>
    <col min="20" max="20" width="9.140625" style="55" hidden="1" customWidth="1"/>
    <col min="21" max="22" width="20.28515625" style="55" hidden="1" customWidth="1"/>
    <col min="23" max="24" width="13.85546875" style="55" hidden="1" customWidth="1"/>
    <col min="25" max="25" width="11.5703125" style="55" hidden="1" customWidth="1"/>
    <col min="26" max="26" width="17.28515625" style="55" hidden="1" customWidth="1"/>
    <col min="27" max="28" width="13.85546875" style="55" hidden="1" customWidth="1"/>
    <col min="29" max="29" width="11.5703125" style="55" hidden="1" customWidth="1"/>
    <col min="30" max="30" width="17.28515625" style="55" hidden="1" customWidth="1"/>
    <col min="31" max="31" width="14.28515625" style="55" hidden="1" customWidth="1"/>
    <col min="32" max="32" width="19.140625" style="55" hidden="1" customWidth="1"/>
    <col min="33" max="33" width="9.140625" style="55" hidden="1" customWidth="1"/>
    <col min="34" max="34" width="35.7109375" style="55" hidden="1" customWidth="1"/>
    <col min="35" max="38" width="5.7109375" style="55" hidden="1" customWidth="1"/>
    <col min="39" max="39" width="6.140625" style="55" hidden="1" customWidth="1"/>
    <col min="40" max="40" width="9.140625" style="55" hidden="1" customWidth="1"/>
    <col min="41" max="41" width="20.28515625" style="55" hidden="1" customWidth="1"/>
    <col min="42" max="42" width="12.5703125" style="55" hidden="1" customWidth="1"/>
    <col min="43" max="43" width="16.5703125" style="55" hidden="1" customWidth="1"/>
    <col min="44" max="44" width="13.85546875" style="55" hidden="1" customWidth="1"/>
    <col min="45" max="45" width="11.5703125" style="55" hidden="1" customWidth="1"/>
    <col min="46" max="46" width="17.28515625" style="55" hidden="1" customWidth="1"/>
    <col min="47" max="47" width="16.5703125" style="55" hidden="1" customWidth="1"/>
    <col min="48" max="48" width="13.85546875" style="55" hidden="1" customWidth="1"/>
    <col min="49" max="49" width="11.5703125" style="55" hidden="1" customWidth="1"/>
    <col min="50" max="50" width="17.28515625" style="55" hidden="1" customWidth="1"/>
    <col min="51" max="51" width="16.140625" style="55" hidden="1" customWidth="1"/>
    <col min="52" max="52" width="23.85546875" style="55" hidden="1" customWidth="1"/>
    <col min="53" max="53" width="9.140625" style="55" hidden="1" customWidth="1"/>
    <col min="54" max="54" width="35.7109375" style="55" hidden="1" customWidth="1"/>
    <col min="55" max="58" width="5.7109375" style="55" hidden="1" customWidth="1"/>
    <col min="59" max="59" width="6.140625" style="55" hidden="1" customWidth="1"/>
    <col min="60" max="61" width="5.7109375" style="55" hidden="1" customWidth="1"/>
    <col min="62" max="62" width="12.5703125" style="55" hidden="1" customWidth="1"/>
    <col min="63" max="64" width="13.85546875" style="55" hidden="1" customWidth="1"/>
    <col min="65" max="65" width="11.5703125" style="55" hidden="1" customWidth="1"/>
    <col min="66" max="66" width="17.28515625" style="55" hidden="1" customWidth="1"/>
    <col min="67" max="68" width="13.85546875" style="55" hidden="1" customWidth="1"/>
    <col min="69" max="69" width="11.5703125" style="55" hidden="1" customWidth="1"/>
    <col min="70" max="70" width="17.28515625" style="55" hidden="1" customWidth="1"/>
    <col min="71" max="71" width="12.42578125" style="55" hidden="1" customWidth="1"/>
    <col min="72" max="72" width="7" style="55" hidden="1" customWidth="1"/>
    <col min="73" max="73" width="5.7109375" style="55" hidden="1" customWidth="1"/>
    <col min="74" max="74" width="35.7109375" style="55" hidden="1" customWidth="1"/>
    <col min="75" max="77" width="5.7109375" style="55" hidden="1" customWidth="1"/>
    <col min="78" max="78" width="9.140625" style="55" hidden="1" customWidth="1"/>
    <col min="79" max="79" width="9.140625" style="57" hidden="1" customWidth="1"/>
    <col min="80" max="80" width="4.28515625" style="57" customWidth="1"/>
    <col min="81" max="81" width="1.42578125" style="57" customWidth="1"/>
    <col min="82" max="82" width="31.42578125" style="130" customWidth="1"/>
    <col min="83" max="83" width="6.42578125" style="131" customWidth="1"/>
    <col min="84" max="84" width="3.5703125" style="130" customWidth="1"/>
    <col min="85" max="85" width="1.42578125" style="57" customWidth="1"/>
    <col min="86" max="86" width="9.140625" style="57"/>
    <col min="87" max="87" width="1.42578125" style="57" customWidth="1"/>
    <col min="88" max="88" width="31.42578125" style="57" customWidth="1"/>
    <col min="89" max="89" width="6.42578125" style="56" customWidth="1"/>
    <col min="90" max="90" width="3.5703125" style="57" customWidth="1"/>
    <col min="91" max="91" width="1.42578125" style="57" customWidth="1"/>
    <col min="92" max="92" width="9.140625" style="57"/>
    <col min="93" max="93" width="1.42578125" style="57" customWidth="1"/>
    <col min="94" max="94" width="31.42578125" style="57" customWidth="1"/>
    <col min="95" max="95" width="6.42578125" style="57" customWidth="1"/>
    <col min="96" max="96" width="3.5703125" style="57" customWidth="1"/>
    <col min="97" max="97" width="1.42578125" style="57" customWidth="1"/>
    <col min="98" max="98" width="9.140625" style="57"/>
    <col min="99" max="99" width="1.42578125" style="57" customWidth="1"/>
    <col min="100" max="100" width="31.42578125" style="57" customWidth="1"/>
    <col min="101" max="101" width="6.42578125" style="57" customWidth="1"/>
    <col min="102" max="102" width="3.5703125" style="57" customWidth="1"/>
    <col min="103" max="103" width="1.42578125" style="57" customWidth="1"/>
    <col min="104" max="104" width="3" style="57" customWidth="1"/>
    <col min="105" max="105" width="2.85546875" style="57" customWidth="1"/>
    <col min="106" max="108" width="10.28515625" style="55" customWidth="1"/>
    <col min="109" max="109" width="2.85546875" style="55" customWidth="1"/>
    <col min="110" max="16384" width="9.140625" style="55"/>
  </cols>
  <sheetData>
    <row r="1" spans="1:106" s="125" customFormat="1" x14ac:dyDescent="0.3">
      <c r="CD1" s="126"/>
      <c r="CE1" s="127"/>
      <c r="CF1" s="126"/>
      <c r="CK1" s="88"/>
    </row>
    <row r="2" spans="1:106" s="125" customFormat="1" ht="25.5" x14ac:dyDescent="0.5">
      <c r="CD2" s="128"/>
      <c r="CE2" s="128"/>
      <c r="CF2" s="128"/>
      <c r="CJ2" s="128"/>
      <c r="CK2" s="128"/>
      <c r="CL2" s="128"/>
      <c r="CP2" s="128"/>
      <c r="CQ2" s="128"/>
      <c r="CR2" s="128"/>
      <c r="CV2" s="128"/>
      <c r="CW2" s="128"/>
      <c r="CX2" s="128"/>
      <c r="DB2" s="104" t="s">
        <v>504</v>
      </c>
    </row>
    <row r="3" spans="1:106" s="125" customFormat="1" ht="25.5" x14ac:dyDescent="0.5">
      <c r="CD3" s="129"/>
      <c r="CE3" s="129"/>
      <c r="CF3" s="129"/>
      <c r="CJ3" s="129"/>
      <c r="CK3" s="129"/>
      <c r="CL3" s="129"/>
      <c r="CP3" s="129"/>
      <c r="CQ3" s="129"/>
      <c r="CR3" s="129"/>
      <c r="CV3" s="129"/>
      <c r="CW3" s="129"/>
      <c r="CX3" s="129"/>
    </row>
    <row r="4" spans="1:106" s="125" customFormat="1" x14ac:dyDescent="0.3">
      <c r="CC4" s="57"/>
      <c r="CD4" s="130"/>
      <c r="CE4" s="131"/>
      <c r="CF4" s="130"/>
      <c r="CG4" s="57"/>
      <c r="CK4" s="88"/>
    </row>
    <row r="5" spans="1:106" s="125" customFormat="1" ht="17.25" customHeight="1" x14ac:dyDescent="0.25">
      <c r="A5" s="132" t="s">
        <v>41</v>
      </c>
      <c r="B5" s="133" t="s">
        <v>192</v>
      </c>
      <c r="C5" s="133" t="s">
        <v>178</v>
      </c>
      <c r="D5" s="133" t="s">
        <v>179</v>
      </c>
      <c r="E5" s="133" t="s">
        <v>443</v>
      </c>
      <c r="F5" s="133" t="s">
        <v>182</v>
      </c>
      <c r="G5" s="133" t="s">
        <v>183</v>
      </c>
      <c r="H5" s="133" t="s">
        <v>184</v>
      </c>
      <c r="I5" s="133" t="s">
        <v>444</v>
      </c>
      <c r="J5" s="133" t="s">
        <v>187</v>
      </c>
      <c r="K5" s="133" t="s">
        <v>189</v>
      </c>
      <c r="L5" s="134" t="s">
        <v>177</v>
      </c>
      <c r="N5" s="135" t="str">
        <f>_xlfn.TEXTJOIN(" - ",TRUE,K6:L6)</f>
        <v>Sun 27 Jun 20:00 - La Cartuja (SPA)</v>
      </c>
      <c r="O5" s="136"/>
      <c r="P5" s="136"/>
      <c r="Q5" s="137"/>
      <c r="R5" s="138"/>
      <c r="S5" s="139"/>
      <c r="CC5" s="57"/>
      <c r="CD5" s="163" t="str">
        <f>N5</f>
        <v>Sun 27 Jun 20:00 - La Cartuja (SPA)</v>
      </c>
      <c r="CE5" s="163"/>
      <c r="CF5" s="163"/>
      <c r="CG5" s="57"/>
      <c r="CK5" s="88"/>
    </row>
    <row r="6" spans="1:106" s="125" customFormat="1" ht="17.25" customHeight="1" x14ac:dyDescent="0.25">
      <c r="A6" s="140">
        <v>39</v>
      </c>
      <c r="B6" s="141" t="b">
        <f ca="1">INDEX(tblRound16[],MATCH(A6,tblRound16[Euro_Match_Number],0),MATCH(B5,tblRound16[#Headers],0))</f>
        <v>0</v>
      </c>
      <c r="C6" s="141" t="str">
        <f ca="1">INDEX(tblRound16[],MATCH($A6,tblRound16[Euro_Match_Number],0),MATCH(C5,tblRound16[#Headers],0))</f>
        <v>Winner Group B</v>
      </c>
      <c r="D6" s="141" t="str">
        <f ca="1">IF(B6,""&amp;INDEX(tblRound16[],MATCH($A6,tblRound16[Euro_Match_Number],0),MATCH(D5,tblRound16[#Headers],0)),"")</f>
        <v/>
      </c>
      <c r="E6" s="141" t="str">
        <f ca="1">IF(B6,""&amp;INDEX(tblRound16[],MATCH($A6,tblRound16[Euro_Match_Number],0),MATCH(E5,tblRound16[#Headers],0)),"")</f>
        <v/>
      </c>
      <c r="F6" s="141" t="str">
        <f ca="1">IF(B6,""&amp;INDEX(tblRound16[],MATCH($A6,tblRound16[Euro_Match_Number],0),MATCH(F5,tblRound16[#Headers],0)),"")</f>
        <v/>
      </c>
      <c r="G6" s="141" t="str">
        <f ca="1">INDEX(tblRound16[],MATCH(A6,tblRound16[Euro_Match_Number],0),MATCH(G5,tblRound16[#Headers],0))</f>
        <v>3rd Group A/D/E/F</v>
      </c>
      <c r="H6" s="141" t="str">
        <f ca="1">IF(B6,""&amp;INDEX(tblRound16[],MATCH($A6,tblRound16[Euro_Match_Number],0),MATCH(H5,tblRound16[#Headers],0)),"")</f>
        <v/>
      </c>
      <c r="I6" s="141" t="str">
        <f ca="1">IF(B6,""&amp;INDEX(tblRound16[],MATCH($A6,tblRound16[Euro_Match_Number],0),MATCH(I5,tblRound16[#Headers],0)),"")</f>
        <v/>
      </c>
      <c r="J6" s="141" t="str">
        <f ca="1">IF(B6,""&amp;INDEX(tblRound16[],MATCH($A6,tblRound16[Euro_Match_Number],0),MATCH(J5,tblRound16[#Headers],0)),"")</f>
        <v/>
      </c>
      <c r="K6" s="141" t="str">
        <f>INDEX(tblRound16[],MATCH(A6,tblRound16[Euro_Match_Number],0),MATCH(K5,tblRound16[#Headers],0))</f>
        <v>Sun 27 Jun 20:00</v>
      </c>
      <c r="L6" s="142" t="str">
        <f>INDEX(tblRound16[],MATCH(A6,tblRound16[Euro_Match_Number],0),MATCH(L5,tblRound16[#Headers],0))</f>
        <v>La Cartuja (SPA)</v>
      </c>
      <c r="N6" s="143" t="str">
        <f ca="1">C6</f>
        <v>Winner Group B</v>
      </c>
      <c r="O6" s="143" t="str">
        <f ca="1">IF(LEN(R6)&gt;0,R6&amp;" AET",IF(LEN(Q6)&gt;0,Q6,""))</f>
        <v/>
      </c>
      <c r="P6" s="143" t="str">
        <f ca="1">IF(LEN(F6)&gt;0,"("&amp;F6&amp;")","")</f>
        <v/>
      </c>
      <c r="Q6" s="143" t="str">
        <f ca="1">D6</f>
        <v/>
      </c>
      <c r="R6" s="143" t="str">
        <f ca="1">E6</f>
        <v/>
      </c>
      <c r="S6" s="144" t="e">
        <f ca="1">AND(B6,SUM(VALUE(D6),IF(E6&lt;&gt;"",VALUE(E6),0),IF(F6&lt;&gt;"",VALUE(F6),0))&gt;SUM(VALUE(H6),IF(I6&lt;&gt;"",VALUE(I6),0),IF(J6&lt;&gt;"",VALUE(J6),0)))</f>
        <v>#VALUE!</v>
      </c>
      <c r="CC6" s="57"/>
      <c r="CD6" s="78" t="str">
        <f t="array" aca="1" ref="CD6:CF7" ca="1">N6:P7</f>
        <v>Winner Group B</v>
      </c>
      <c r="CE6" s="79" t="str">
        <f ca="1"/>
        <v/>
      </c>
      <c r="CF6" s="80" t="str">
        <f ca="1"/>
        <v/>
      </c>
      <c r="CG6" s="57"/>
      <c r="CI6" s="57"/>
      <c r="CJ6" s="57"/>
      <c r="CK6" s="56"/>
      <c r="CL6" s="57"/>
      <c r="CM6" s="57"/>
    </row>
    <row r="7" spans="1:106" s="125" customFormat="1" ht="17.25" customHeight="1" x14ac:dyDescent="0.25">
      <c r="N7" s="145" t="str">
        <f ca="1">G6</f>
        <v>3rd Group A/D/E/F</v>
      </c>
      <c r="O7" s="145" t="str">
        <f ca="1">IF(LEN(R7)&gt;0,R7&amp;" AET",IF(LEN(Q7)&gt;0,Q7,""))</f>
        <v/>
      </c>
      <c r="P7" s="145" t="str">
        <f ca="1">IF(LEN(J6)&gt;0,"("&amp;J6&amp;")","")</f>
        <v/>
      </c>
      <c r="Q7" s="145" t="str">
        <f ca="1">H6</f>
        <v/>
      </c>
      <c r="R7" s="145" t="str">
        <f ca="1">I6</f>
        <v/>
      </c>
      <c r="S7" s="144" t="e">
        <f ca="1">AND(B6,SUM(VALUE(D6),IF(E6&lt;&gt;"",VALUE(E6),0),IF(F6&lt;&gt;"",VALUE(F6),0))&lt;SUM(VALUE(H6),IF(I6&lt;&gt;"",VALUE(I6),0),IF(J6&lt;&gt;"",VALUE(J6),0)))</f>
        <v>#VALUE!</v>
      </c>
      <c r="U7" s="132" t="s">
        <v>41</v>
      </c>
      <c r="V7" s="133" t="s">
        <v>192</v>
      </c>
      <c r="W7" s="133" t="s">
        <v>178</v>
      </c>
      <c r="X7" s="133" t="s">
        <v>179</v>
      </c>
      <c r="Y7" s="133" t="s">
        <v>443</v>
      </c>
      <c r="Z7" s="133" t="s">
        <v>182</v>
      </c>
      <c r="AA7" s="133" t="s">
        <v>183</v>
      </c>
      <c r="AB7" s="133" t="s">
        <v>184</v>
      </c>
      <c r="AC7" s="133" t="s">
        <v>444</v>
      </c>
      <c r="AD7" s="133" t="s">
        <v>187</v>
      </c>
      <c r="AE7" s="133" t="s">
        <v>189</v>
      </c>
      <c r="AF7" s="134" t="s">
        <v>177</v>
      </c>
      <c r="AH7" s="135" t="str">
        <f>_xlfn.TEXTJOIN(" - ",TRUE,AE8:AF8)</f>
        <v>Fri 02 Jul 20:00 - Allianz Arena (GER)</v>
      </c>
      <c r="AI7" s="136"/>
      <c r="AJ7" s="136"/>
      <c r="AK7" s="137"/>
      <c r="AL7" s="138"/>
      <c r="AM7" s="139"/>
      <c r="CC7" s="57"/>
      <c r="CD7" s="81" t="str">
        <f ca="1"/>
        <v>3rd Group A/D/E/F</v>
      </c>
      <c r="CE7" s="82" t="str">
        <f ca="1"/>
        <v/>
      </c>
      <c r="CF7" s="83" t="str">
        <f ca="1"/>
        <v/>
      </c>
      <c r="CG7" s="57"/>
      <c r="CI7" s="57"/>
      <c r="CJ7" s="163" t="str">
        <f>AH7</f>
        <v>Fri 02 Jul 20:00 - Allianz Arena (GER)</v>
      </c>
      <c r="CK7" s="163"/>
      <c r="CL7" s="163"/>
      <c r="CM7" s="57"/>
    </row>
    <row r="8" spans="1:106" s="125" customFormat="1" ht="17.25" customHeight="1" x14ac:dyDescent="0.3">
      <c r="N8" s="144"/>
      <c r="O8" s="144"/>
      <c r="P8" s="144"/>
      <c r="U8" s="140">
        <v>46</v>
      </c>
      <c r="V8" s="141" t="b">
        <f ca="1">INDEX(tblRound8[],MATCH(U8,tblRound8[Euro_Match_Number],0),MATCH(V7,tblRound8[#Headers],0))</f>
        <v>0</v>
      </c>
      <c r="W8" s="141" t="str">
        <f ca="1">INDEX(tblRound8[],MATCH(U8,tblRound8[Euro_Match_Number],0),MATCH(W7,tblRound8[#Headers],0))</f>
        <v>Winner Match 39</v>
      </c>
      <c r="X8" s="141" t="str">
        <f ca="1">IF($V8,""&amp;INDEX(tblRound8[],MATCH($U8,tblRound8[Euro_Match_Number],0),MATCH(X7,tblRound8[#Headers],0)),"")</f>
        <v/>
      </c>
      <c r="Y8" s="141" t="str">
        <f ca="1">IF($V8,""&amp;INDEX(tblRound8[],MATCH($U8,tblRound8[Euro_Match_Number],0),MATCH(Y7,tblRound8[#Headers],0)),"")</f>
        <v/>
      </c>
      <c r="Z8" s="141" t="str">
        <f ca="1">IF($V8,""&amp;INDEX(tblRound8[],MATCH($U8,tblRound8[Euro_Match_Number],0),MATCH(Z7,tblRound8[#Headers],0)),"")</f>
        <v/>
      </c>
      <c r="AA8" s="141" t="str">
        <f ca="1">""&amp;INDEX(tblRound8[],MATCH(U8,tblRound8[Euro_Match_Number],0),MATCH(AA7,tblRound8[#Headers],0))</f>
        <v>Winner Match 37</v>
      </c>
      <c r="AB8" s="141" t="str">
        <f ca="1">IF($V8,""&amp;INDEX(tblRound8[],MATCH($U8,tblRound8[Euro_Match_Number],0),MATCH(AB7,tblRound8[#Headers],0)),"")</f>
        <v/>
      </c>
      <c r="AC8" s="141" t="str">
        <f ca="1">IF($V8,""&amp;INDEX(tblRound8[],MATCH($U8,tblRound8[Euro_Match_Number],0),MATCH(AC7,tblRound8[#Headers],0)),"")</f>
        <v/>
      </c>
      <c r="AD8" s="141" t="str">
        <f ca="1">IF(V8,""&amp;INDEX(tblRound8[],MATCH(U8,tblRound8[Euro_Match_Number],0),MATCH(AD7,tblRound8[#Headers],0)),"")</f>
        <v/>
      </c>
      <c r="AE8" s="141" t="str">
        <f>""&amp;INDEX(tblRound8[],MATCH(U8,tblRound8[Euro_Match_Number],0),MATCH(AE7,tblRound8[#Headers],0))</f>
        <v>Fri 02 Jul 20:00</v>
      </c>
      <c r="AF8" s="142" t="str">
        <f>""&amp;INDEX(tblRound8[],MATCH(U8,tblRound8[Euro_Match_Number],0),MATCH(AF7,tblRound8[#Headers],0))</f>
        <v>Allianz Arena (GER)</v>
      </c>
      <c r="AH8" s="143" t="str">
        <f ca="1">W8</f>
        <v>Winner Match 39</v>
      </c>
      <c r="AI8" s="143" t="str">
        <f ca="1">IF(LEN(AL8)&gt;0,AL8&amp;" AET",IF(LEN(AK8)&gt;0,AK8,""))</f>
        <v/>
      </c>
      <c r="AJ8" s="143" t="str">
        <f ca="1">IF(LEN(Z8)&gt;0,"("&amp;Z8&amp;")","")</f>
        <v/>
      </c>
      <c r="AK8" s="143" t="str">
        <f ca="1">X8</f>
        <v/>
      </c>
      <c r="AL8" s="143" t="str">
        <f ca="1">Y8</f>
        <v/>
      </c>
      <c r="AM8" s="144" t="e">
        <f ca="1">AND(V8,SUM(VALUE(X8),IF(Y8&lt;&gt;"",VALUE(Y8),0),IF(Z8&lt;&gt;"",VALUE(Z8),0))&gt;SUM(VALUE(AB8),IF(AC8&lt;&gt;"",VALUE(AC8),0),IF(AD8&lt;&gt;"",VALUE(AD8),0)))</f>
        <v>#VALUE!</v>
      </c>
      <c r="CC8" s="146"/>
      <c r="CD8" s="84"/>
      <c r="CE8" s="85"/>
      <c r="CF8" s="84"/>
      <c r="CG8" s="146"/>
      <c r="CH8" s="144"/>
      <c r="CI8" s="57"/>
      <c r="CJ8" s="78" t="str">
        <f t="array" aca="1" ref="CJ8:CL9" ca="1">AH8:AJ9</f>
        <v>Winner Match 39</v>
      </c>
      <c r="CK8" s="79" t="str">
        <f ca="1"/>
        <v/>
      </c>
      <c r="CL8" s="80" t="str">
        <f ca="1"/>
        <v/>
      </c>
      <c r="CM8" s="57"/>
    </row>
    <row r="9" spans="1:106" s="125" customFormat="1" ht="17.25" customHeight="1" x14ac:dyDescent="0.25">
      <c r="A9" s="132" t="s">
        <v>41</v>
      </c>
      <c r="B9" s="133" t="s">
        <v>192</v>
      </c>
      <c r="C9" s="133" t="s">
        <v>178</v>
      </c>
      <c r="D9" s="133" t="s">
        <v>179</v>
      </c>
      <c r="E9" s="133" t="s">
        <v>443</v>
      </c>
      <c r="F9" s="133" t="s">
        <v>182</v>
      </c>
      <c r="G9" s="133" t="s">
        <v>183</v>
      </c>
      <c r="H9" s="133" t="s">
        <v>184</v>
      </c>
      <c r="I9" s="133" t="s">
        <v>444</v>
      </c>
      <c r="J9" s="133" t="s">
        <v>187</v>
      </c>
      <c r="K9" s="133" t="s">
        <v>189</v>
      </c>
      <c r="L9" s="134" t="s">
        <v>177</v>
      </c>
      <c r="N9" s="147" t="str">
        <f>_xlfn.TEXTJOIN(" - ",TRUE,K10:L10)</f>
        <v>Sat 26 Jun 20:00 - Wembley Stadium (ENG)</v>
      </c>
      <c r="O9" s="148"/>
      <c r="P9" s="148"/>
      <c r="Q9" s="148"/>
      <c r="R9" s="149"/>
      <c r="S9" s="150"/>
      <c r="AH9" s="145" t="str">
        <f ca="1">AA8</f>
        <v>Winner Match 37</v>
      </c>
      <c r="AI9" s="145" t="str">
        <f ca="1">IF(LEN(AL9)&gt;0,AL9&amp;" AET",IF(LEN(AK9)&gt;0,AK9,""))</f>
        <v/>
      </c>
      <c r="AJ9" s="145" t="str">
        <f ca="1">IF(LEN(AD8)&gt;0,"("&amp;AD8&amp;")","")</f>
        <v/>
      </c>
      <c r="AK9" s="145" t="str">
        <f ca="1">AB8</f>
        <v/>
      </c>
      <c r="AL9" s="145" t="str">
        <f ca="1">AC8</f>
        <v/>
      </c>
      <c r="AM9" s="144" t="e">
        <f ca="1">AND(V8,SUM(VALUE(X8),IF(Y8&lt;&gt;"",VALUE(Y8),0),IF(Z8&lt;&gt;"",VALUE(Z8),0))&lt;SUM(VALUE(AB8),IF(AC8&lt;&gt;"",VALUE(AC8),0),IF(AD8&lt;&gt;"",VALUE(AD8),0)))</f>
        <v>#VALUE!</v>
      </c>
      <c r="CC9" s="57"/>
      <c r="CD9" s="163" t="str">
        <f>N9</f>
        <v>Sat 26 Jun 20:00 - Wembley Stadium (ENG)</v>
      </c>
      <c r="CE9" s="163"/>
      <c r="CF9" s="163"/>
      <c r="CG9" s="57"/>
      <c r="CI9" s="57"/>
      <c r="CJ9" s="81" t="str">
        <f ca="1"/>
        <v>Winner Match 37</v>
      </c>
      <c r="CK9" s="82" t="str">
        <f ca="1"/>
        <v/>
      </c>
      <c r="CL9" s="83" t="str">
        <f ca="1"/>
        <v/>
      </c>
      <c r="CM9" s="57"/>
    </row>
    <row r="10" spans="1:106" s="125" customFormat="1" ht="17.25" customHeight="1" x14ac:dyDescent="0.25">
      <c r="A10" s="140">
        <v>37</v>
      </c>
      <c r="B10" s="141" t="b">
        <f ca="1">INDEX(tblRound16[],MATCH($A10,tblRound16[Euro_Match_Number],0),MATCH(B9,tblRound16[#Headers],0))</f>
        <v>0</v>
      </c>
      <c r="C10" s="141" t="str">
        <f ca="1">INDEX(tblRound16[],MATCH($A10,tblRound16[Euro_Match_Number],0),MATCH(C9,tblRound16[#Headers],0))</f>
        <v>Winner Group A</v>
      </c>
      <c r="D10" s="141" t="str">
        <f ca="1">IF(B10,""&amp;INDEX(tblRound16[],MATCH($A10,tblRound16[Euro_Match_Number],0),MATCH(D9,tblRound16[#Headers],0)),"")</f>
        <v/>
      </c>
      <c r="E10" s="141" t="str">
        <f ca="1">IF(B10,""&amp;INDEX(tblRound16[],MATCH($A10,tblRound16[Euro_Match_Number],0),MATCH(E9,tblRound16[#Headers],0)),"")</f>
        <v/>
      </c>
      <c r="F10" s="141" t="str">
        <f ca="1">IF(B10,""&amp;INDEX(tblRound16[],MATCH($A10,tblRound16[Euro_Match_Number],0),MATCH(F9,tblRound16[#Headers],0)),"")</f>
        <v/>
      </c>
      <c r="G10" s="141" t="str">
        <f ca="1">INDEX(tblRound16[],MATCH(A10,tblRound16[Euro_Match_Number],0),MATCH(G9,tblRound16[#Headers],0))</f>
        <v>Runner-Up Group C</v>
      </c>
      <c r="H10" s="141" t="str">
        <f ca="1">IF(B10,""&amp;INDEX(tblRound16[],MATCH($A10,tblRound16[Euro_Match_Number],0),MATCH(H9,tblRound16[#Headers],0)),"")</f>
        <v/>
      </c>
      <c r="I10" s="141" t="str">
        <f ca="1">IF(B10,""&amp;INDEX(tblRound16[],MATCH($A10,tblRound16[Euro_Match_Number],0),MATCH(I9,tblRound16[#Headers],0)),"")</f>
        <v/>
      </c>
      <c r="J10" s="141" t="str">
        <f ca="1">IF(B10,""&amp;INDEX(tblRound16[],MATCH($A10,tblRound16[Euro_Match_Number],0),MATCH(J9,tblRound16[#Headers],0)),"")</f>
        <v/>
      </c>
      <c r="K10" s="141" t="str">
        <f>INDEX(tblRound16[],MATCH(A10,tblRound16[Euro_Match_Number],0),MATCH(K9,tblRound16[#Headers],0))</f>
        <v>Sat 26 Jun 20:00</v>
      </c>
      <c r="L10" s="142" t="str">
        <f>INDEX(tblRound16[],MATCH(A10,tblRound16[Euro_Match_Number],0),MATCH(L9,tblRound16[#Headers],0))</f>
        <v>Wembley Stadium (ENG)</v>
      </c>
      <c r="N10" s="143" t="str">
        <f ca="1">C10</f>
        <v>Winner Group A</v>
      </c>
      <c r="O10" s="143" t="str">
        <f ca="1">IF(LEN(R10)&gt;0,R10&amp;" AET",IF(LEN(Q10)&gt;0,Q10,""))</f>
        <v/>
      </c>
      <c r="P10" s="143" t="str">
        <f ca="1">IF(LEN(F10)&gt;0,"("&amp;F10&amp;")","")</f>
        <v/>
      </c>
      <c r="Q10" s="143" t="str">
        <f ca="1">D10</f>
        <v/>
      </c>
      <c r="R10" s="143" t="str">
        <f ca="1">E10</f>
        <v/>
      </c>
      <c r="S10" s="144" t="e">
        <f ca="1">AND(B10,SUM(VALUE(D10),IF(E10&lt;&gt;"",VALUE(E10),0),IF(F10&lt;&gt;"",VALUE(F10),0))&gt;SUM(VALUE(H10),IF(I10&lt;&gt;"",VALUE(I10),0),IF(J10&lt;&gt;"",VALUE(J10),0)))</f>
        <v>#VALUE!</v>
      </c>
      <c r="CC10" s="57"/>
      <c r="CD10" s="78" t="str">
        <f t="array" aca="1" ref="CD10:CF11" ca="1">N10:P11</f>
        <v>Winner Group A</v>
      </c>
      <c r="CE10" s="79" t="str">
        <f ca="1"/>
        <v/>
      </c>
      <c r="CF10" s="80" t="str">
        <f ca="1"/>
        <v/>
      </c>
      <c r="CG10" s="57"/>
      <c r="CI10" s="57"/>
      <c r="CJ10" s="57"/>
      <c r="CK10" s="56"/>
      <c r="CL10" s="57"/>
      <c r="CM10" s="57"/>
      <c r="CO10" s="57"/>
      <c r="CP10" s="57"/>
      <c r="CQ10" s="57"/>
      <c r="CR10" s="57"/>
      <c r="CS10" s="57"/>
    </row>
    <row r="11" spans="1:106" s="125" customFormat="1" ht="17.25" customHeight="1" x14ac:dyDescent="0.25">
      <c r="N11" s="145" t="str">
        <f ca="1">G10</f>
        <v>Runner-Up Group C</v>
      </c>
      <c r="O11" s="145" t="str">
        <f ca="1">IF(LEN(R11)&gt;0,R11&amp;" AET",IF(LEN(Q11)&gt;0,Q11,""))</f>
        <v/>
      </c>
      <c r="P11" s="145" t="str">
        <f ca="1">IF(LEN(J10)&gt;0,"("&amp;J10&amp;")","")</f>
        <v/>
      </c>
      <c r="Q11" s="145" t="str">
        <f ca="1">H10</f>
        <v/>
      </c>
      <c r="R11" s="145" t="str">
        <f ca="1">I10</f>
        <v/>
      </c>
      <c r="S11" s="144" t="e">
        <f ca="1">AND(B10,SUM(VALUE(D10),IF(E10&lt;&gt;"",VALUE(E10),0),IF(F10&lt;&gt;"",VALUE(F10),0))&lt;SUM(VALUE(H10),IF(I10&lt;&gt;"",VALUE(I10),0),IF(J10&lt;&gt;"",VALUE(J10),0)))</f>
        <v>#VALUE!</v>
      </c>
      <c r="AO11" s="132" t="s">
        <v>41</v>
      </c>
      <c r="AP11" s="133" t="s">
        <v>192</v>
      </c>
      <c r="AQ11" s="133" t="s">
        <v>178</v>
      </c>
      <c r="AR11" s="133" t="s">
        <v>179</v>
      </c>
      <c r="AS11" s="133" t="s">
        <v>443</v>
      </c>
      <c r="AT11" s="133" t="s">
        <v>182</v>
      </c>
      <c r="AU11" s="133" t="s">
        <v>183</v>
      </c>
      <c r="AV11" s="133" t="s">
        <v>184</v>
      </c>
      <c r="AW11" s="133" t="s">
        <v>444</v>
      </c>
      <c r="AX11" s="133" t="s">
        <v>187</v>
      </c>
      <c r="AY11" s="133" t="s">
        <v>189</v>
      </c>
      <c r="AZ11" s="134" t="s">
        <v>177</v>
      </c>
      <c r="BB11" s="135" t="str">
        <f>_xlfn.TEXTJOIN(" - ",TRUE,AY12:AZ12)</f>
        <v>Tue 06 Jul 20:00 - Wembley Stadium (ENG)</v>
      </c>
      <c r="BC11" s="136"/>
      <c r="BD11" s="136"/>
      <c r="BE11" s="137"/>
      <c r="BF11" s="138"/>
      <c r="BG11" s="139"/>
      <c r="CC11" s="57"/>
      <c r="CD11" s="81" t="str">
        <f ca="1"/>
        <v>Runner-Up Group C</v>
      </c>
      <c r="CE11" s="82" t="str">
        <f ca="1"/>
        <v/>
      </c>
      <c r="CF11" s="83" t="str">
        <f ca="1"/>
        <v/>
      </c>
      <c r="CG11" s="57"/>
      <c r="CK11" s="88"/>
      <c r="CO11" s="57"/>
      <c r="CP11" s="163" t="str">
        <f>BB11</f>
        <v>Tue 06 Jul 20:00 - Wembley Stadium (ENG)</v>
      </c>
      <c r="CQ11" s="163"/>
      <c r="CR11" s="163"/>
      <c r="CS11" s="57"/>
    </row>
    <row r="12" spans="1:106" s="125" customFormat="1" ht="17.25" customHeight="1" x14ac:dyDescent="0.3">
      <c r="N12" s="144"/>
      <c r="O12" s="144"/>
      <c r="P12" s="144"/>
      <c r="AO12" s="140">
        <v>49</v>
      </c>
      <c r="AP12" s="141" t="b">
        <f ca="1">INDEX(tblRound4[],MATCH(AO12,tblRound4[Euro_Match_Number],0),MATCH(AP11,tblRound4[#Headers],0))</f>
        <v>0</v>
      </c>
      <c r="AQ12" s="141" t="str">
        <f ca="1">INDEX(tblRound4[],MATCH(AO12,tblRound4[Euro_Match_Number],0),MATCH(AQ11,tblRound4[#Headers],0))</f>
        <v>Winner Match 46</v>
      </c>
      <c r="AR12" s="141" t="str">
        <f ca="1">IF($AP12,""&amp;INDEX(tblRound4[],MATCH($AO12,tblRound4[Euro_Match_Number],0),MATCH(AR11,tblRound4[#Headers],0)),"")</f>
        <v/>
      </c>
      <c r="AS12" s="141" t="str">
        <f ca="1">IF($AP12,""&amp;INDEX(tblRound4[],MATCH($AO12,tblRound4[Euro_Match_Number],0),MATCH(AS11,tblRound4[#Headers],0)),"")</f>
        <v/>
      </c>
      <c r="AT12" s="141" t="str">
        <f ca="1">IF($AP12,""&amp;INDEX(tblRound4[],MATCH($AO12,tblRound4[Euro_Match_Number],0),MATCH(AT11,tblRound4[#Headers],0)),"")</f>
        <v/>
      </c>
      <c r="AU12" s="141" t="str">
        <f ca="1">""&amp;INDEX(tblRound4[],MATCH(AO12,tblRound4[Euro_Match_Number],0),MATCH(AU11,tblRound4[#Headers],0))</f>
        <v>Winner Match 45</v>
      </c>
      <c r="AV12" s="141" t="str">
        <f ca="1">IF($AP12,""&amp;INDEX(tblRound4[],MATCH($AO12,tblRound4[Euro_Match_Number],0),MATCH(AV11,tblRound4[#Headers],0)),"")</f>
        <v/>
      </c>
      <c r="AW12" s="141" t="str">
        <f ca="1">IF($AP12,""&amp;INDEX(tblRound4[],MATCH($AO12,tblRound4[Euro_Match_Number],0),MATCH(AW11,tblRound4[#Headers],0)),"")</f>
        <v/>
      </c>
      <c r="AX12" s="141" t="str">
        <f ca="1">IF($AP12,""&amp;INDEX(tblRound4[],MATCH($AO12,tblRound4[Euro_Match_Number],0),MATCH(AX11,tblRound4[#Headers],0)),"")</f>
        <v/>
      </c>
      <c r="AY12" s="141" t="str">
        <f>""&amp;INDEX(tblRound4[],MATCH(AO12,tblRound4[Euro_Match_Number],0),MATCH(AY11,tblRound4[#Headers],0))</f>
        <v>Tue 06 Jul 20:00</v>
      </c>
      <c r="AZ12" s="142" t="str">
        <f>""&amp;INDEX(tblRound4[],MATCH(AO12,tblRound4[Euro_Match_Number],0),MATCH(AZ11,tblRound4[#Headers],0))</f>
        <v>Wembley Stadium (ENG)</v>
      </c>
      <c r="BB12" s="143" t="str">
        <f ca="1">AQ12</f>
        <v>Winner Match 46</v>
      </c>
      <c r="BC12" s="143" t="str">
        <f ca="1">IF(LEN(BF12)&gt;0,BF12&amp;" AET",IF(LEN(BE12)&gt;0,BE12,""))</f>
        <v/>
      </c>
      <c r="BD12" s="143" t="str">
        <f ca="1">IF(LEN(AT12)&gt;0,"("&amp;AT12&amp;")","")</f>
        <v/>
      </c>
      <c r="BE12" s="143" t="str">
        <f ca="1">AR12</f>
        <v/>
      </c>
      <c r="BF12" s="143" t="str">
        <f ca="1">AS12</f>
        <v/>
      </c>
      <c r="BG12" s="144" t="e">
        <f ca="1">AND(AP12,SUM(VALUE(AR12),IF(AS12&lt;&gt;"",VALUE(AS12),0),IF(AT12&lt;&gt;"",VALUE(AT12),0))&gt;SUM(VALUE(AV12),IF(AW12&lt;&gt;"",VALUE(AW12),0),IF(AX12&lt;&gt;"",VALUE(AX12),0)))</f>
        <v>#VALUE!</v>
      </c>
      <c r="CC12" s="57"/>
      <c r="CD12" s="84"/>
      <c r="CE12" s="85"/>
      <c r="CF12" s="84"/>
      <c r="CG12" s="57"/>
      <c r="CK12" s="88"/>
      <c r="CO12" s="57"/>
      <c r="CP12" s="78" t="str">
        <f t="array" aca="1" ref="CP12:CR13" ca="1">BB12:BD13</f>
        <v>Winner Match 46</v>
      </c>
      <c r="CQ12" s="86" t="str">
        <f ca="1"/>
        <v/>
      </c>
      <c r="CR12" s="80" t="str">
        <f ca="1"/>
        <v/>
      </c>
      <c r="CS12" s="57"/>
    </row>
    <row r="13" spans="1:106" s="125" customFormat="1" ht="17.25" customHeight="1" x14ac:dyDescent="0.25">
      <c r="A13" s="132" t="s">
        <v>41</v>
      </c>
      <c r="B13" s="133" t="s">
        <v>192</v>
      </c>
      <c r="C13" s="133" t="s">
        <v>178</v>
      </c>
      <c r="D13" s="133" t="s">
        <v>179</v>
      </c>
      <c r="E13" s="133" t="s">
        <v>443</v>
      </c>
      <c r="F13" s="133" t="s">
        <v>182</v>
      </c>
      <c r="G13" s="133" t="s">
        <v>183</v>
      </c>
      <c r="H13" s="133" t="s">
        <v>184</v>
      </c>
      <c r="I13" s="133" t="s">
        <v>444</v>
      </c>
      <c r="J13" s="133" t="s">
        <v>187</v>
      </c>
      <c r="K13" s="133" t="s">
        <v>189</v>
      </c>
      <c r="L13" s="134" t="s">
        <v>177</v>
      </c>
      <c r="N13" s="147" t="str">
        <f>_xlfn.TEXTJOIN(" - ",TRUE,K14:L14)</f>
        <v>Mon 28 Jun 20:00 - Arean Nationala (ROM)</v>
      </c>
      <c r="O13" s="148"/>
      <c r="P13" s="148"/>
      <c r="Q13" s="148"/>
      <c r="R13" s="149"/>
      <c r="S13" s="150"/>
      <c r="BB13" s="145" t="str">
        <f ca="1">AU12</f>
        <v>Winner Match 45</v>
      </c>
      <c r="BC13" s="145" t="str">
        <f ca="1">IF(LEN(BF13)&gt;0,BF13&amp;" AET",IF(LEN(BE13)&gt;0,BE13,""))</f>
        <v/>
      </c>
      <c r="BD13" s="145" t="str">
        <f ca="1">IF(LEN(AX12)&gt;0,"("&amp;AX12&amp;")","")</f>
        <v/>
      </c>
      <c r="BE13" s="145" t="str">
        <f ca="1">AV12</f>
        <v/>
      </c>
      <c r="BF13" s="145" t="str">
        <f ca="1">AW12</f>
        <v/>
      </c>
      <c r="BG13" s="144" t="e">
        <f ca="1">AND(AP12,SUM(VALUE(AR12),IF(AS12&lt;&gt;"",VALUE(AS12),0),IF(AT12&lt;&gt;"",VALUE(AT12),0))&lt;SUM(VALUE(AV12),IF(AW12&lt;&gt;"",VALUE(AW12),0),IF(AX12&lt;&gt;"",VALUE(AX12),0)))</f>
        <v>#VALUE!</v>
      </c>
      <c r="CC13" s="57"/>
      <c r="CD13" s="163" t="str">
        <f>N13</f>
        <v>Mon 28 Jun 20:00 - Arean Nationala (ROM)</v>
      </c>
      <c r="CE13" s="163"/>
      <c r="CF13" s="163"/>
      <c r="CG13" s="57"/>
      <c r="CK13" s="88"/>
      <c r="CO13" s="57"/>
      <c r="CP13" s="81" t="str">
        <f ca="1"/>
        <v>Winner Match 45</v>
      </c>
      <c r="CQ13" s="87" t="str">
        <f ca="1"/>
        <v/>
      </c>
      <c r="CR13" s="83" t="str">
        <f ca="1"/>
        <v/>
      </c>
      <c r="CS13" s="57"/>
    </row>
    <row r="14" spans="1:106" s="125" customFormat="1" ht="17.25" customHeight="1" x14ac:dyDescent="0.25">
      <c r="A14" s="140">
        <v>41</v>
      </c>
      <c r="B14" s="141" t="b">
        <f ca="1">INDEX(tblRound16[],MATCH($A14,tblRound16[Euro_Match_Number],0),MATCH(B13,tblRound16[#Headers],0))</f>
        <v>0</v>
      </c>
      <c r="C14" s="141" t="str">
        <f ca="1">INDEX(tblRound16[],MATCH($A14,tblRound16[Euro_Match_Number],0),MATCH(C13,tblRound16[#Headers],0))</f>
        <v>Winner Group F</v>
      </c>
      <c r="D14" s="141" t="str">
        <f ca="1">IF(B14,""&amp;INDEX(tblRound16[],MATCH($A14,tblRound16[Euro_Match_Number],0),MATCH(D13,tblRound16[#Headers],0)),"")</f>
        <v/>
      </c>
      <c r="E14" s="141" t="str">
        <f ca="1">IF(B14,""&amp;INDEX(tblRound16[],MATCH($A14,tblRound16[Euro_Match_Number],0),MATCH(E13,tblRound16[#Headers],0)),"")</f>
        <v/>
      </c>
      <c r="F14" s="141" t="str">
        <f ca="1">IF(B14,""&amp;INDEX(tblRound16[],MATCH($A14,tblRound16[Euro_Match_Number],0),MATCH(F13,tblRound16[#Headers],0)),"")</f>
        <v/>
      </c>
      <c r="G14" s="141" t="str">
        <f ca="1">INDEX(tblRound16[],MATCH(A14,tblRound16[Euro_Match_Number],0),MATCH(G13,tblRound16[#Headers],0))</f>
        <v>3rd Group A/B/C</v>
      </c>
      <c r="H14" s="141" t="str">
        <f ca="1">IF(B14,""&amp;INDEX(tblRound16[],MATCH($A14,tblRound16[Euro_Match_Number],0),MATCH(H13,tblRound16[#Headers],0)),"")</f>
        <v/>
      </c>
      <c r="I14" s="141" t="str">
        <f ca="1">IF(B14,""&amp;INDEX(tblRound16[],MATCH($A14,tblRound16[Euro_Match_Number],0),MATCH(I13,tblRound16[#Headers],0)),"")</f>
        <v/>
      </c>
      <c r="J14" s="141" t="str">
        <f ca="1">IF(B14,""&amp;INDEX(tblRound16[],MATCH($A14,tblRound16[Euro_Match_Number],0),MATCH(J13,tblRound16[#Headers],0)),"")</f>
        <v/>
      </c>
      <c r="K14" s="141" t="str">
        <f>INDEX(tblRound16[],MATCH(A14,tblRound16[Euro_Match_Number],0),MATCH(K13,tblRound16[#Headers],0))</f>
        <v>Mon 28 Jun 20:00</v>
      </c>
      <c r="L14" s="142" t="str">
        <f>INDEX(tblRound16[],MATCH(A14,tblRound16[Euro_Match_Number],0),MATCH(L13,tblRound16[#Headers],0))</f>
        <v>Arean Nationala (ROM)</v>
      </c>
      <c r="N14" s="143" t="str">
        <f ca="1">C14</f>
        <v>Winner Group F</v>
      </c>
      <c r="O14" s="143" t="str">
        <f ca="1">IF(LEN(R14)&gt;0,R14&amp;" AET",IF(LEN(Q14)&gt;0,Q14,""))</f>
        <v/>
      </c>
      <c r="P14" s="143" t="str">
        <f ca="1">IF(LEN(F14)&gt;0,"("&amp;F14&amp;")","")</f>
        <v/>
      </c>
      <c r="Q14" s="143" t="str">
        <f ca="1">D14</f>
        <v/>
      </c>
      <c r="R14" s="143" t="str">
        <f ca="1">E14</f>
        <v/>
      </c>
      <c r="S14" s="144" t="e">
        <f ca="1">AND(B14,SUM(VALUE(D14),IF(E14&lt;&gt;"",VALUE(E14),0),IF(F14&lt;&gt;"",VALUE(F14),0))&gt;SUM(VALUE(H14),IF(I14&lt;&gt;"",VALUE(I14),0),IF(J14&lt;&gt;"",VALUE(J14),0)))</f>
        <v>#VALUE!</v>
      </c>
      <c r="CC14" s="57"/>
      <c r="CD14" s="78" t="str">
        <f t="array" aca="1" ref="CD14:CF15" ca="1">N14:P15</f>
        <v>Winner Group F</v>
      </c>
      <c r="CE14" s="79" t="str">
        <f ca="1"/>
        <v/>
      </c>
      <c r="CF14" s="80" t="str">
        <f ca="1"/>
        <v/>
      </c>
      <c r="CG14" s="57"/>
      <c r="CI14" s="57"/>
      <c r="CJ14" s="57"/>
      <c r="CK14" s="56"/>
      <c r="CL14" s="57"/>
      <c r="CM14" s="57"/>
      <c r="CO14" s="57"/>
      <c r="CP14" s="57"/>
      <c r="CQ14" s="57"/>
      <c r="CR14" s="57"/>
      <c r="CS14" s="57"/>
    </row>
    <row r="15" spans="1:106" s="125" customFormat="1" ht="17.25" customHeight="1" x14ac:dyDescent="0.25">
      <c r="N15" s="145" t="str">
        <f ca="1">G14</f>
        <v>3rd Group A/B/C</v>
      </c>
      <c r="O15" s="145" t="str">
        <f ca="1">IF(LEN(R15)&gt;0,R15&amp;" AET",IF(LEN(Q15)&gt;0,Q15,""))</f>
        <v/>
      </c>
      <c r="P15" s="145" t="str">
        <f ca="1">IF(LEN(J14)&gt;0,"("&amp;J14&amp;")","")</f>
        <v/>
      </c>
      <c r="Q15" s="145" t="str">
        <f ca="1">H14</f>
        <v/>
      </c>
      <c r="R15" s="145" t="str">
        <f ca="1">I14</f>
        <v/>
      </c>
      <c r="S15" s="144" t="e">
        <f ca="1">AND(B14,SUM(VALUE(D14),IF(E14&lt;&gt;"",VALUE(E14),0),IF(F14&lt;&gt;"",VALUE(F14),0))&lt;SUM(VALUE(H14),IF(I14&lt;&gt;"",VALUE(I14),0),IF(J14&lt;&gt;"",VALUE(J14),0)))</f>
        <v>#VALUE!</v>
      </c>
      <c r="U15" s="132" t="s">
        <v>41</v>
      </c>
      <c r="V15" s="133" t="s">
        <v>192</v>
      </c>
      <c r="W15" s="133" t="s">
        <v>178</v>
      </c>
      <c r="X15" s="133" t="s">
        <v>179</v>
      </c>
      <c r="Y15" s="133" t="s">
        <v>443</v>
      </c>
      <c r="Z15" s="133" t="s">
        <v>182</v>
      </c>
      <c r="AA15" s="133" t="s">
        <v>183</v>
      </c>
      <c r="AB15" s="133" t="s">
        <v>184</v>
      </c>
      <c r="AC15" s="133" t="s">
        <v>444</v>
      </c>
      <c r="AD15" s="133" t="s">
        <v>187</v>
      </c>
      <c r="AE15" s="133" t="s">
        <v>189</v>
      </c>
      <c r="AF15" s="134" t="s">
        <v>177</v>
      </c>
      <c r="AH15" s="135" t="str">
        <f>_xlfn.TEXTJOIN(" - ",TRUE,AE16:AF16)</f>
        <v>Fri 02 Jul 17:00 - Krestovsky Stadium (RUS)</v>
      </c>
      <c r="AI15" s="136"/>
      <c r="AJ15" s="136"/>
      <c r="AK15" s="137"/>
      <c r="AL15" s="138"/>
      <c r="AM15" s="139"/>
      <c r="CC15" s="57"/>
      <c r="CD15" s="81" t="str">
        <f ca="1"/>
        <v>3rd Group A/B/C</v>
      </c>
      <c r="CE15" s="82" t="str">
        <f ca="1"/>
        <v/>
      </c>
      <c r="CF15" s="83" t="str">
        <f ca="1"/>
        <v/>
      </c>
      <c r="CG15" s="57"/>
      <c r="CI15" s="57"/>
      <c r="CJ15" s="163" t="str">
        <f>AH15</f>
        <v>Fri 02 Jul 17:00 - Krestovsky Stadium (RUS)</v>
      </c>
      <c r="CK15" s="163"/>
      <c r="CL15" s="163"/>
      <c r="CM15" s="57"/>
    </row>
    <row r="16" spans="1:106" s="125" customFormat="1" ht="17.25" customHeight="1" x14ac:dyDescent="0.3">
      <c r="N16" s="144"/>
      <c r="O16" s="144"/>
      <c r="P16" s="144"/>
      <c r="U16" s="140">
        <v>45</v>
      </c>
      <c r="V16" s="141" t="b">
        <f ca="1">INDEX(tblRound8[],MATCH(U16,tblRound8[Euro_Match_Number],0),MATCH(V15,tblRound8[#Headers],0))</f>
        <v>0</v>
      </c>
      <c r="W16" s="141" t="str">
        <f ca="1">INDEX(tblRound8[],MATCH(U16,tblRound8[Euro_Match_Number],0),MATCH(W15,tblRound8[#Headers],0))</f>
        <v>Winner Match 41</v>
      </c>
      <c r="X16" s="141" t="str">
        <f ca="1">IF($V16,""&amp;INDEX(tblRound8[],MATCH($U16,tblRound8[Euro_Match_Number],0),MATCH(X15,tblRound8[#Headers],0)),"")</f>
        <v/>
      </c>
      <c r="Y16" s="141" t="str">
        <f ca="1">IF($V16,""&amp;INDEX(tblRound8[],MATCH($U16,tblRound8[Euro_Match_Number],0),MATCH(Y15,tblRound8[#Headers],0)),"")</f>
        <v/>
      </c>
      <c r="Z16" s="141" t="str">
        <f ca="1">IF($V16,""&amp;INDEX(tblRound8[],MATCH($U16,tblRound8[Euro_Match_Number],0),MATCH(Z15,tblRound8[#Headers],0)),"")</f>
        <v/>
      </c>
      <c r="AA16" s="141" t="str">
        <f ca="1">""&amp;INDEX(tblRound8[],MATCH($U16,tblRound8[Euro_Match_Number],0),MATCH(AA15,tblRound8[#Headers],0))</f>
        <v>Winner Match 42</v>
      </c>
      <c r="AB16" s="141" t="str">
        <f ca="1">IF($V16,""&amp;INDEX(tblRound8[],MATCH($U16,tblRound8[Euro_Match_Number],0),MATCH(AB15,tblRound8[#Headers],0)),"")</f>
        <v/>
      </c>
      <c r="AC16" s="141" t="str">
        <f ca="1">IF($V16,""&amp;INDEX(tblRound8[],MATCH($U16,tblRound8[Euro_Match_Number],0),MATCH(AC15,tblRound8[#Headers],0)),"")</f>
        <v/>
      </c>
      <c r="AD16" s="141" t="str">
        <f ca="1">IF(V16,""&amp;INDEX(tblRound8[],MATCH(U16,tblRound8[Euro_Match_Number],0),MATCH(AD15,tblRound8[#Headers],0)),"")</f>
        <v/>
      </c>
      <c r="AE16" s="141" t="str">
        <f>""&amp;INDEX(tblRound8[],MATCH($U16,tblRound8[Euro_Match_Number],0),MATCH(AE15,tblRound8[#Headers],0))</f>
        <v>Fri 02 Jul 17:00</v>
      </c>
      <c r="AF16" s="142" t="str">
        <f>""&amp;INDEX(tblRound8[],MATCH($U16,tblRound8[Euro_Match_Number],0),MATCH(AF15,tblRound8[#Headers],0))</f>
        <v>Krestovsky Stadium (RUS)</v>
      </c>
      <c r="AH16" s="143" t="str">
        <f ca="1">W16</f>
        <v>Winner Match 41</v>
      </c>
      <c r="AI16" s="143" t="str">
        <f ca="1">IF(LEN(AL16)&gt;0,AL16&amp;" AET",IF(LEN(AK16)&gt;0,AK16,""))</f>
        <v/>
      </c>
      <c r="AJ16" s="143" t="str">
        <f ca="1">IF(LEN(Z16)&gt;0,"("&amp;Z16&amp;")","")</f>
        <v/>
      </c>
      <c r="AK16" s="143" t="str">
        <f ca="1">X16</f>
        <v/>
      </c>
      <c r="AL16" s="143" t="str">
        <f ca="1">Y16</f>
        <v/>
      </c>
      <c r="AM16" s="144" t="e">
        <f ca="1">AND(V16,SUM(VALUE(X16),IF(Y16&lt;&gt;"",VALUE(Y16),0),IF(Z16&lt;&gt;"",VALUE(Z16),0))&gt;SUM(VALUE(AB16),IF(AC16&lt;&gt;"",VALUE(AC16),0),IF(AD16&lt;&gt;"",VALUE(AD16),0)))</f>
        <v>#VALUE!</v>
      </c>
      <c r="CC16" s="57"/>
      <c r="CD16" s="84"/>
      <c r="CE16" s="85"/>
      <c r="CF16" s="84"/>
      <c r="CG16" s="57"/>
      <c r="CI16" s="57"/>
      <c r="CJ16" s="78" t="str">
        <f t="array" aca="1" ref="CJ16:CL17" ca="1">AH16:AJ17</f>
        <v>Winner Match 41</v>
      </c>
      <c r="CK16" s="79" t="str">
        <f ca="1"/>
        <v/>
      </c>
      <c r="CL16" s="80" t="str">
        <f ca="1"/>
        <v/>
      </c>
      <c r="CM16" s="57"/>
    </row>
    <row r="17" spans="1:109" s="125" customFormat="1" ht="17.25" customHeight="1" x14ac:dyDescent="0.25">
      <c r="A17" s="132" t="s">
        <v>41</v>
      </c>
      <c r="B17" s="133" t="s">
        <v>192</v>
      </c>
      <c r="C17" s="133" t="s">
        <v>178</v>
      </c>
      <c r="D17" s="133" t="s">
        <v>179</v>
      </c>
      <c r="E17" s="133" t="s">
        <v>443</v>
      </c>
      <c r="F17" s="133" t="s">
        <v>182</v>
      </c>
      <c r="G17" s="133" t="s">
        <v>183</v>
      </c>
      <c r="H17" s="133" t="s">
        <v>184</v>
      </c>
      <c r="I17" s="133" t="s">
        <v>444</v>
      </c>
      <c r="J17" s="133" t="s">
        <v>187</v>
      </c>
      <c r="K17" s="133" t="s">
        <v>189</v>
      </c>
      <c r="L17" s="134" t="s">
        <v>177</v>
      </c>
      <c r="N17" s="147" t="str">
        <f>_xlfn.TEXTJOIN(" - ",TRUE,K18:L18)</f>
        <v>Mon 28 Jun 17:00 - Parken Stadium (DEN)</v>
      </c>
      <c r="O17" s="148"/>
      <c r="P17" s="148"/>
      <c r="Q17" s="148"/>
      <c r="R17" s="149"/>
      <c r="S17" s="150"/>
      <c r="AH17" s="145" t="str">
        <f ca="1">AA16</f>
        <v>Winner Match 42</v>
      </c>
      <c r="AI17" s="145" t="str">
        <f ca="1">IF(LEN(AL17)&gt;0,AL17&amp;" AET",IF(LEN(AK17)&gt;0,AK17,""))</f>
        <v/>
      </c>
      <c r="AJ17" s="145" t="str">
        <f ca="1">IF(LEN(AD16)&gt;0,"("&amp;AD16&amp;")","")</f>
        <v/>
      </c>
      <c r="AK17" s="145" t="str">
        <f ca="1">AB16</f>
        <v/>
      </c>
      <c r="AL17" s="145" t="str">
        <f ca="1">AC16</f>
        <v/>
      </c>
      <c r="AM17" s="144" t="e">
        <f ca="1">AND(V16,SUM(VALUE(X16),IF(Y16&lt;&gt;"",VALUE(Y16),0),IF(Z16&lt;&gt;"",VALUE(Z16),0))&lt;SUM(VALUE(AB16),IF(AC16&lt;&gt;"",VALUE(AC16),0),IF(AD16&lt;&gt;"",VALUE(AD16),0)))</f>
        <v>#VALUE!</v>
      </c>
      <c r="CC17" s="57"/>
      <c r="CD17" s="163" t="str">
        <f>N17</f>
        <v>Mon 28 Jun 17:00 - Parken Stadium (DEN)</v>
      </c>
      <c r="CE17" s="163"/>
      <c r="CF17" s="163"/>
      <c r="CG17" s="57"/>
      <c r="CI17" s="57"/>
      <c r="CJ17" s="81" t="str">
        <f ca="1"/>
        <v>Winner Match 42</v>
      </c>
      <c r="CK17" s="82" t="str">
        <f ca="1"/>
        <v/>
      </c>
      <c r="CL17" s="83" t="str">
        <f ca="1"/>
        <v/>
      </c>
      <c r="CM17" s="57"/>
    </row>
    <row r="18" spans="1:109" s="125" customFormat="1" ht="17.25" customHeight="1" x14ac:dyDescent="0.25">
      <c r="A18" s="140">
        <v>42</v>
      </c>
      <c r="B18" s="141" t="b">
        <f ca="1">INDEX(tblRound16[],MATCH($A18,tblRound16[Euro_Match_Number],0),MATCH(B17,tblRound16[#Headers],0))</f>
        <v>0</v>
      </c>
      <c r="C18" s="141" t="str">
        <f ca="1">INDEX(tblRound16[],MATCH($A18,tblRound16[Euro_Match_Number],0),MATCH(C17,tblRound16[#Headers],0))</f>
        <v>Runner-Up Group D</v>
      </c>
      <c r="D18" s="141" t="str">
        <f ca="1">IF(B18,""&amp;INDEX(tblRound16[],MATCH($A18,tblRound16[Euro_Match_Number],0),MATCH(D17,tblRound16[#Headers],0)),"")</f>
        <v/>
      </c>
      <c r="E18" s="141" t="str">
        <f ca="1">IF(B18,""&amp;INDEX(tblRound16[],MATCH($A18,tblRound16[Euro_Match_Number],0),MATCH(E17,tblRound16[#Headers],0)),"")</f>
        <v/>
      </c>
      <c r="F18" s="141" t="str">
        <f ca="1">IF(B18,""&amp;INDEX(tblRound16[],MATCH($A18,tblRound16[Euro_Match_Number],0),MATCH(F17,tblRound16[#Headers],0)),"")</f>
        <v/>
      </c>
      <c r="G18" s="141" t="str">
        <f ca="1">INDEX(tblRound16[],MATCH(A18,tblRound16[Euro_Match_Number],0),MATCH(G17,tblRound16[#Headers],0))</f>
        <v>Runner-Up Group E</v>
      </c>
      <c r="H18" s="141" t="str">
        <f ca="1">IF(B18,""&amp;INDEX(tblRound16[],MATCH($A18,tblRound16[Euro_Match_Number],0),MATCH(H17,tblRound16[#Headers],0)),"")</f>
        <v/>
      </c>
      <c r="I18" s="141" t="str">
        <f ca="1">IF(B18,""&amp;INDEX(tblRound16[],MATCH($A18,tblRound16[Euro_Match_Number],0),MATCH(I17,tblRound16[#Headers],0)),"")</f>
        <v/>
      </c>
      <c r="J18" s="141" t="str">
        <f ca="1">IF(B18,""&amp;INDEX(tblRound16[],MATCH($A18,tblRound16[Euro_Match_Number],0),MATCH(J17,tblRound16[#Headers],0)),"")</f>
        <v/>
      </c>
      <c r="K18" s="141" t="str">
        <f>INDEX(tblRound16[],MATCH(A18,tblRound16[Euro_Match_Number],0),MATCH(K17,tblRound16[#Headers],0))</f>
        <v>Mon 28 Jun 17:00</v>
      </c>
      <c r="L18" s="142" t="str">
        <f>INDEX(tblRound16[],MATCH(A18,tblRound16[Euro_Match_Number],0),MATCH(L17,tblRound16[#Headers],0))</f>
        <v>Parken Stadium (DEN)</v>
      </c>
      <c r="N18" s="143" t="str">
        <f ca="1">C18</f>
        <v>Runner-Up Group D</v>
      </c>
      <c r="O18" s="143" t="str">
        <f ca="1">IF(LEN(R18)&gt;0,R18&amp;" AET",IF(LEN(Q18)&gt;0,Q18,""))</f>
        <v/>
      </c>
      <c r="P18" s="143" t="str">
        <f ca="1">IF(LEN(F18)&gt;0,"("&amp;F18&amp;")","")</f>
        <v/>
      </c>
      <c r="Q18" s="143" t="str">
        <f ca="1">D18</f>
        <v/>
      </c>
      <c r="R18" s="143" t="str">
        <f ca="1">E18</f>
        <v/>
      </c>
      <c r="S18" s="144" t="e">
        <f ca="1">AND(B18,SUM(VALUE(D18),IF(E18&lt;&gt;"",VALUE(E18),0),IF(F18&lt;&gt;"",VALUE(F18),0))&gt;SUM(VALUE(H18),IF(I18&lt;&gt;"",VALUE(I18),0),IF(J18&lt;&gt;"",VALUE(J18),0)))</f>
        <v>#VALUE!</v>
      </c>
      <c r="CC18" s="57"/>
      <c r="CD18" s="78" t="str">
        <f t="array" aca="1" ref="CD18:CF19" ca="1">N18:P19</f>
        <v>Runner-Up Group D</v>
      </c>
      <c r="CE18" s="79" t="str">
        <f ca="1"/>
        <v/>
      </c>
      <c r="CF18" s="80" t="str">
        <f ca="1"/>
        <v/>
      </c>
      <c r="CG18" s="57"/>
      <c r="CI18" s="57"/>
      <c r="CJ18" s="57"/>
      <c r="CK18" s="56"/>
      <c r="CL18" s="57"/>
      <c r="CM18" s="57"/>
      <c r="CU18" s="57"/>
      <c r="CV18" s="151"/>
      <c r="CW18" s="151"/>
      <c r="CX18" s="151"/>
      <c r="CY18" s="57"/>
      <c r="DA18" s="155" t="str">
        <f ca="1">IFERROR(IF(OR(CA20,CA21),"New European Champions,",""),"")</f>
        <v/>
      </c>
      <c r="DB18" s="155"/>
      <c r="DC18" s="155"/>
      <c r="DD18" s="155"/>
      <c r="DE18" s="155"/>
    </row>
    <row r="19" spans="1:109" s="125" customFormat="1" ht="17.25" customHeight="1" x14ac:dyDescent="0.25">
      <c r="N19" s="145" t="str">
        <f ca="1">G18</f>
        <v>Runner-Up Group E</v>
      </c>
      <c r="O19" s="145" t="str">
        <f ca="1">IF(LEN(R19)&gt;0,R19&amp;" AET",IF(LEN(Q19)&gt;0,Q19,""))</f>
        <v/>
      </c>
      <c r="P19" s="145" t="str">
        <f ca="1">IF(LEN(J18)&gt;0,"("&amp;J18&amp;")","")</f>
        <v/>
      </c>
      <c r="Q19" s="145" t="str">
        <f ca="1">H18</f>
        <v/>
      </c>
      <c r="R19" s="145" t="str">
        <f ca="1">I18</f>
        <v/>
      </c>
      <c r="S19" s="144" t="e">
        <f ca="1">AND(B18,SUM(VALUE(D18),IF(E18&lt;&gt;"",VALUE(E18),0),IF(F18&lt;&gt;"",VALUE(F18),0))&lt;SUM(VALUE(H18),IF(I18&lt;&gt;"",VALUE(I18),0),IF(J18&lt;&gt;"",VALUE(J18),0)))</f>
        <v>#VALUE!</v>
      </c>
      <c r="BI19" s="132" t="s">
        <v>41</v>
      </c>
      <c r="BJ19" s="133" t="s">
        <v>192</v>
      </c>
      <c r="BK19" s="133" t="s">
        <v>178</v>
      </c>
      <c r="BL19" s="133" t="s">
        <v>179</v>
      </c>
      <c r="BM19" s="133" t="s">
        <v>443</v>
      </c>
      <c r="BN19" s="133" t="s">
        <v>182</v>
      </c>
      <c r="BO19" s="133" t="s">
        <v>183</v>
      </c>
      <c r="BP19" s="133" t="s">
        <v>184</v>
      </c>
      <c r="BQ19" s="133" t="s">
        <v>444</v>
      </c>
      <c r="BR19" s="133" t="s">
        <v>187</v>
      </c>
      <c r="BS19" s="133" t="s">
        <v>189</v>
      </c>
      <c r="BT19" s="134" t="s">
        <v>177</v>
      </c>
      <c r="BV19" s="135" t="str">
        <f>_xlfn.TEXTJOIN(" - ",TRUE,BS20:BT20)</f>
        <v>Sun 11 Jul 20:00 (BBC / iTV) - Wembley Stadium (ENG)</v>
      </c>
      <c r="BW19" s="136"/>
      <c r="BX19" s="136"/>
      <c r="BY19" s="137"/>
      <c r="BZ19" s="138"/>
      <c r="CC19" s="57"/>
      <c r="CD19" s="81" t="str">
        <f ca="1"/>
        <v>Runner-Up Group E</v>
      </c>
      <c r="CE19" s="82" t="str">
        <f ca="1"/>
        <v/>
      </c>
      <c r="CF19" s="83" t="str">
        <f ca="1"/>
        <v/>
      </c>
      <c r="CG19" s="57"/>
      <c r="CK19" s="88"/>
      <c r="CU19" s="57"/>
      <c r="CV19" s="163" t="str">
        <f>BV19</f>
        <v>Sun 11 Jul 20:00 (BBC / iTV) - Wembley Stadium (ENG)</v>
      </c>
      <c r="CW19" s="163"/>
      <c r="CX19" s="163"/>
      <c r="CY19" s="57"/>
      <c r="DA19" s="153"/>
      <c r="DB19" s="154" t="str">
        <f ca="1">IFERROR(UPPER(IF(CA20,BV20&amp;"!!!",IF(CA21,BV21&amp;"!!!",""))),"")</f>
        <v/>
      </c>
      <c r="DC19" s="154"/>
      <c r="DD19" s="154"/>
      <c r="DE19" s="153"/>
    </row>
    <row r="20" spans="1:109" s="125" customFormat="1" ht="17.25" customHeight="1" x14ac:dyDescent="0.3">
      <c r="N20" s="144"/>
      <c r="O20" s="144"/>
      <c r="P20" s="144"/>
      <c r="BI20" s="140">
        <v>51</v>
      </c>
      <c r="BJ20" s="141" t="b">
        <f ca="1">INDEX(tblRound2[],MATCH(BI20,tblRound2[Euro_Match_Number],0),MATCH(BJ19,tblRound2[#Headers],0))</f>
        <v>0</v>
      </c>
      <c r="BK20" s="141" t="str">
        <f ca="1">INDEX(tblRound2[],MATCH(BI20,tblRound2[Euro_Match_Number],0),MATCH(BK19,tblRound2[#Headers],0))</f>
        <v>Winner Match 49</v>
      </c>
      <c r="BL20" s="141" t="str">
        <f ca="1">IF($BJ20,""&amp;INDEX(tblRound2[],MATCH($BI20,tblRound2[Euro_Match_Number],0),MATCH(BL19,tblRound2[#Headers],0)),"")</f>
        <v/>
      </c>
      <c r="BM20" s="141" t="str">
        <f ca="1">IF($BJ20,""&amp;INDEX(tblRound2[],MATCH($BI20,tblRound2[Euro_Match_Number],0),MATCH(BM19,tblRound2[#Headers],0)),"")</f>
        <v/>
      </c>
      <c r="BN20" s="141" t="str">
        <f ca="1">IF($BJ20,""&amp;INDEX(tblRound2[],MATCH($BI20,tblRound2[Euro_Match_Number],0),MATCH(BN19,tblRound2[#Headers],0)),"")</f>
        <v/>
      </c>
      <c r="BO20" s="141" t="str">
        <f ca="1">""&amp;INDEX(tblRound2[],MATCH(BI20,tblRound2[Euro_Match_Number],0),MATCH(BO19,tblRound2[#Headers],0))</f>
        <v>Winner Match 50</v>
      </c>
      <c r="BP20" s="141" t="str">
        <f ca="1">IF($BJ20,""&amp;INDEX(tblRound2[],MATCH($BI20,tblRound2[Euro_Match_Number],0),MATCH(BP19,tblRound2[#Headers],0)),"")</f>
        <v/>
      </c>
      <c r="BQ20" s="141" t="str">
        <f ca="1">IF($BJ20,""&amp;INDEX(tblRound2[],MATCH($BI20,tblRound2[Euro_Match_Number],0),MATCH(BQ19,tblRound2[#Headers],0)),"")</f>
        <v/>
      </c>
      <c r="BR20" s="141" t="str">
        <f ca="1">IF($BJ20,""&amp;INDEX(tblRound2[],MATCH($BI20,tblRound2[Euro_Match_Number],0),MATCH(BR19,tblRound2[#Headers],0)),"")</f>
        <v/>
      </c>
      <c r="BS20" s="141" t="str">
        <f>""&amp;INDEX(tblRound2[],MATCH(BI20,tblRound2[Euro_Match_Number],0),MATCH(BS19,tblRound2[#Headers],0))</f>
        <v>Sun 11 Jul 20:00 (BBC / iTV)</v>
      </c>
      <c r="BT20" s="142" t="str">
        <f>""&amp;INDEX(tblRound2[],MATCH(BI20,tblRound2[Euro_Match_Number],0),MATCH(BT19,tblRound2[#Headers],0))</f>
        <v>Wembley Stadium (ENG)</v>
      </c>
      <c r="BV20" s="143" t="str">
        <f ca="1">BK20</f>
        <v>Winner Match 49</v>
      </c>
      <c r="BW20" s="143" t="str">
        <f ca="1">IF(LEN(BZ20)&gt;0,BZ20&amp;" AET",IF(LEN(BY20)&gt;0,BY20,""))</f>
        <v/>
      </c>
      <c r="BX20" s="143" t="str">
        <f ca="1">IF(LEN(BN20)&gt;0,"("&amp;BN20&amp;")","")</f>
        <v/>
      </c>
      <c r="BY20" s="143" t="str">
        <f ca="1">BL20</f>
        <v/>
      </c>
      <c r="BZ20" s="143" t="str">
        <f ca="1">BM20</f>
        <v/>
      </c>
      <c r="CA20" s="144" t="e">
        <f ca="1">AND(BJ20,SUM(VALUE(BL20),IF(BM20&lt;&gt;"",VALUE(BM20),0),IF(BN20&lt;&gt;"",VALUE(BN20),0))&gt;SUM(VALUE(BP20),IF(BQ20&lt;&gt;"",VALUE(BQ20),0),IF(BR20&lt;&gt;"",VALUE(BR20),0)))</f>
        <v>#VALUE!</v>
      </c>
      <c r="CC20" s="57"/>
      <c r="CD20" s="84"/>
      <c r="CE20" s="85"/>
      <c r="CF20" s="84"/>
      <c r="CG20" s="57"/>
      <c r="CK20" s="88"/>
      <c r="CU20" s="57"/>
      <c r="CV20" s="78" t="str">
        <f t="array" aca="1" ref="CV20:CX21" ca="1">BV20:BX21</f>
        <v>Winner Match 49</v>
      </c>
      <c r="CW20" s="86" t="str">
        <f ca="1"/>
        <v/>
      </c>
      <c r="CX20" s="80" t="str">
        <f ca="1"/>
        <v/>
      </c>
      <c r="CY20" s="57"/>
      <c r="DA20" s="153"/>
      <c r="DB20" s="154"/>
      <c r="DC20" s="154"/>
      <c r="DD20" s="154"/>
      <c r="DE20" s="153"/>
    </row>
    <row r="21" spans="1:109" s="125" customFormat="1" ht="17.25" customHeight="1" x14ac:dyDescent="0.25">
      <c r="A21" s="132" t="s">
        <v>41</v>
      </c>
      <c r="B21" s="133" t="s">
        <v>192</v>
      </c>
      <c r="C21" s="133" t="s">
        <v>178</v>
      </c>
      <c r="D21" s="133" t="s">
        <v>179</v>
      </c>
      <c r="E21" s="133" t="s">
        <v>443</v>
      </c>
      <c r="F21" s="133" t="s">
        <v>182</v>
      </c>
      <c r="G21" s="133" t="s">
        <v>183</v>
      </c>
      <c r="H21" s="133" t="s">
        <v>184</v>
      </c>
      <c r="I21" s="133" t="s">
        <v>444</v>
      </c>
      <c r="J21" s="133" t="s">
        <v>187</v>
      </c>
      <c r="K21" s="133" t="s">
        <v>189</v>
      </c>
      <c r="L21" s="134" t="s">
        <v>177</v>
      </c>
      <c r="N21" s="147" t="str">
        <f>_xlfn.TEXTJOIN(" - ",TRUE,K22:L22)</f>
        <v>Tue 29 Jun 20:00 - Hampden Park (SCO)</v>
      </c>
      <c r="O21" s="148"/>
      <c r="P21" s="148"/>
      <c r="Q21" s="148"/>
      <c r="R21" s="149"/>
      <c r="S21" s="150"/>
      <c r="BV21" s="145" t="str">
        <f ca="1">BO20</f>
        <v>Winner Match 50</v>
      </c>
      <c r="BW21" s="145" t="str">
        <f ca="1">IF(LEN(BZ21)&gt;0,BZ21&amp;" AET",IF(LEN(BY21)&gt;0,BY21,""))</f>
        <v/>
      </c>
      <c r="BX21" s="145" t="str">
        <f ca="1">IF(LEN(BR20)&gt;0,"("&amp;BR20&amp;")","")</f>
        <v/>
      </c>
      <c r="BY21" s="145" t="str">
        <f ca="1">BP20</f>
        <v/>
      </c>
      <c r="BZ21" s="145" t="str">
        <f ca="1">BQ20</f>
        <v/>
      </c>
      <c r="CA21" s="144" t="e">
        <f ca="1">AND(BJ20,SUM(VALUE(BL20),IF(BM20&lt;&gt;"",VALUE(BM20),0),IF(BN20&lt;&gt;"",VALUE(BN20),0))&lt;SUM(VALUE(BP20),IF(BQ20&lt;&gt;"",VALUE(BQ20),0),IF(BR20&lt;&gt;"",VALUE(BR20),0)))</f>
        <v>#VALUE!</v>
      </c>
      <c r="CC21" s="57"/>
      <c r="CD21" s="163" t="str">
        <f>N21</f>
        <v>Tue 29 Jun 20:00 - Hampden Park (SCO)</v>
      </c>
      <c r="CE21" s="163"/>
      <c r="CF21" s="163"/>
      <c r="CG21" s="57"/>
      <c r="CK21" s="88"/>
      <c r="CU21" s="57"/>
      <c r="CV21" s="81" t="str">
        <f ca="1"/>
        <v>Winner Match 50</v>
      </c>
      <c r="CW21" s="87" t="str">
        <f ca="1"/>
        <v/>
      </c>
      <c r="CX21" s="83" t="str">
        <f ca="1"/>
        <v/>
      </c>
      <c r="CY21" s="57"/>
      <c r="DA21" s="153"/>
      <c r="DB21" s="154"/>
      <c r="DC21" s="154"/>
      <c r="DD21" s="154"/>
      <c r="DE21" s="153"/>
    </row>
    <row r="22" spans="1:109" s="125" customFormat="1" ht="17.25" customHeight="1" x14ac:dyDescent="0.25">
      <c r="A22" s="140">
        <v>43</v>
      </c>
      <c r="B22" s="141" t="b">
        <f ca="1">INDEX(tblRound16[],MATCH($A22,tblRound16[Euro_Match_Number],0),MATCH(B21,tblRound16[#Headers],0))</f>
        <v>0</v>
      </c>
      <c r="C22" s="141" t="str">
        <f ca="1">INDEX(tblRound16[],MATCH($A22,tblRound16[Euro_Match_Number],0),MATCH(C21,tblRound16[#Headers],0))</f>
        <v>Winner Group E</v>
      </c>
      <c r="D22" s="141" t="str">
        <f ca="1">IF(B22,""&amp;INDEX(tblRound16[],MATCH($A22,tblRound16[Euro_Match_Number],0),MATCH(D21,tblRound16[#Headers],0)),"")</f>
        <v/>
      </c>
      <c r="E22" s="141" t="str">
        <f ca="1">IF(B22,""&amp;INDEX(tblRound16[],MATCH($A22,tblRound16[Euro_Match_Number],0),MATCH(E21,tblRound16[#Headers],0)),"")</f>
        <v/>
      </c>
      <c r="F22" s="141" t="str">
        <f ca="1">IF(B22,""&amp;INDEX(tblRound16[],MATCH($A22,tblRound16[Euro_Match_Number],0),MATCH(F21,tblRound16[#Headers],0)),"")</f>
        <v/>
      </c>
      <c r="G22" s="141" t="str">
        <f ca="1">INDEX(tblRound16[],MATCH(A22,tblRound16[Euro_Match_Number],0),MATCH(G21,tblRound16[#Headers],0))</f>
        <v>3rd Group A/B/C/D</v>
      </c>
      <c r="H22" s="141" t="str">
        <f ca="1">IF(B22,""&amp;INDEX(tblRound16[],MATCH($A22,tblRound16[Euro_Match_Number],0),MATCH(H21,tblRound16[#Headers],0)),"")</f>
        <v/>
      </c>
      <c r="I22" s="141" t="str">
        <f ca="1">IF(B22,""&amp;INDEX(tblRound16[],MATCH($A22,tblRound16[Euro_Match_Number],0),MATCH(I21,tblRound16[#Headers],0)),"")</f>
        <v/>
      </c>
      <c r="J22" s="141" t="str">
        <f ca="1">IF(B22,""&amp;INDEX(tblRound16[],MATCH($A22,tblRound16[Euro_Match_Number],0),MATCH(J21,tblRound16[#Headers],0)),"")</f>
        <v/>
      </c>
      <c r="K22" s="141" t="str">
        <f>INDEX(tblRound16[],MATCH(A22,tblRound16[Euro_Match_Number],0),MATCH(K21,tblRound16[#Headers],0))</f>
        <v>Tue 29 Jun 20:00</v>
      </c>
      <c r="L22" s="142" t="str">
        <f>INDEX(tblRound16[],MATCH(A22,tblRound16[Euro_Match_Number],0),MATCH(L21,tblRound16[#Headers],0))</f>
        <v>Hampden Park (SCO)</v>
      </c>
      <c r="N22" s="143" t="str">
        <f ca="1">C22</f>
        <v>Winner Group E</v>
      </c>
      <c r="O22" s="143" t="str">
        <f ca="1">IF(LEN(R22)&gt;0,R22&amp;" AET",IF(LEN(Q22)&gt;0,Q22,""))</f>
        <v/>
      </c>
      <c r="P22" s="143" t="str">
        <f ca="1">IF(LEN(F22)&gt;0,"("&amp;F22&amp;")","")</f>
        <v/>
      </c>
      <c r="Q22" s="143" t="str">
        <f ca="1">D22</f>
        <v/>
      </c>
      <c r="R22" s="143" t="str">
        <f ca="1">E22</f>
        <v/>
      </c>
      <c r="S22" s="144" t="e">
        <f ca="1">AND(B22,SUM(VALUE(D22),IF(E22&lt;&gt;"",VALUE(E22),0),IF(F22&lt;&gt;"",VALUE(F22),0))&gt;SUM(VALUE(H22),IF(I22&lt;&gt;"",VALUE(I22),0),IF(J22&lt;&gt;"",VALUE(J22),0)))</f>
        <v>#VALUE!</v>
      </c>
      <c r="CC22" s="57"/>
      <c r="CD22" s="78" t="str">
        <f t="array" aca="1" ref="CD22:CF23" ca="1">N22:P23</f>
        <v>Winner Group E</v>
      </c>
      <c r="CE22" s="79" t="str">
        <f ca="1"/>
        <v/>
      </c>
      <c r="CF22" s="80" t="str">
        <f ca="1"/>
        <v/>
      </c>
      <c r="CG22" s="57"/>
      <c r="CI22" s="57"/>
      <c r="CJ22" s="57"/>
      <c r="CK22" s="56"/>
      <c r="CL22" s="57"/>
      <c r="CM22" s="57"/>
      <c r="CU22" s="57"/>
      <c r="CV22" s="57"/>
      <c r="CW22" s="57"/>
      <c r="CX22" s="57"/>
      <c r="CY22" s="57"/>
      <c r="DA22" s="155" t="str">
        <f ca="1">IFERROR(IF(OR(CA20,CA21),"Congratulations!",""),"")</f>
        <v/>
      </c>
      <c r="DB22" s="155"/>
      <c r="DC22" s="155"/>
      <c r="DD22" s="155"/>
      <c r="DE22" s="155"/>
    </row>
    <row r="23" spans="1:109" s="125" customFormat="1" ht="17.25" customHeight="1" x14ac:dyDescent="0.25">
      <c r="N23" s="145" t="str">
        <f ca="1">G22</f>
        <v>3rd Group A/B/C/D</v>
      </c>
      <c r="O23" s="145" t="str">
        <f ca="1">IF(LEN(R23)&gt;0,R23&amp;" AET",IF(LEN(Q23)&gt;0,Q23,""))</f>
        <v/>
      </c>
      <c r="P23" s="145" t="str">
        <f ca="1">IF(LEN(J22)&gt;0,"("&amp;J22&amp;")","")</f>
        <v/>
      </c>
      <c r="Q23" s="145" t="str">
        <f ca="1">H22</f>
        <v/>
      </c>
      <c r="R23" s="145" t="str">
        <f ca="1">I22</f>
        <v/>
      </c>
      <c r="S23" s="144" t="e">
        <f ca="1">AND(B22,SUM(VALUE(D22),IF(E22&lt;&gt;"",VALUE(E22),0),IF(F22&lt;&gt;"",VALUE(F22),0))&lt;SUM(VALUE(H22),IF(I22&lt;&gt;"",VALUE(I22),0),IF(J22&lt;&gt;"",VALUE(J22),0)))</f>
        <v>#VALUE!</v>
      </c>
      <c r="U23" s="132" t="s">
        <v>41</v>
      </c>
      <c r="V23" s="133" t="s">
        <v>192</v>
      </c>
      <c r="W23" s="133" t="s">
        <v>178</v>
      </c>
      <c r="X23" s="133" t="s">
        <v>179</v>
      </c>
      <c r="Y23" s="133" t="s">
        <v>443</v>
      </c>
      <c r="Z23" s="133" t="s">
        <v>182</v>
      </c>
      <c r="AA23" s="133" t="s">
        <v>183</v>
      </c>
      <c r="AB23" s="133" t="s">
        <v>184</v>
      </c>
      <c r="AC23" s="133" t="s">
        <v>444</v>
      </c>
      <c r="AD23" s="133" t="s">
        <v>187</v>
      </c>
      <c r="AE23" s="133" t="s">
        <v>189</v>
      </c>
      <c r="AF23" s="134" t="s">
        <v>177</v>
      </c>
      <c r="AH23" s="135" t="str">
        <f>_xlfn.TEXTJOIN(" - ",TRUE,AE24:AF24)</f>
        <v>Sat 03 Jul 20:00 - Stadio Olimpico (ITA)</v>
      </c>
      <c r="AI23" s="136"/>
      <c r="AJ23" s="136"/>
      <c r="AK23" s="137"/>
      <c r="AL23" s="138"/>
      <c r="AM23" s="139"/>
      <c r="CC23" s="57"/>
      <c r="CD23" s="81" t="str">
        <f ca="1"/>
        <v>3rd Group A/B/C/D</v>
      </c>
      <c r="CE23" s="82" t="str">
        <f ca="1"/>
        <v/>
      </c>
      <c r="CF23" s="83" t="str">
        <f ca="1"/>
        <v/>
      </c>
      <c r="CG23" s="57"/>
      <c r="CI23" s="57"/>
      <c r="CJ23" s="163" t="str">
        <f>AH23</f>
        <v>Sat 03 Jul 20:00 - Stadio Olimpico (ITA)</v>
      </c>
      <c r="CK23" s="163"/>
      <c r="CL23" s="163"/>
      <c r="CM23" s="57"/>
    </row>
    <row r="24" spans="1:109" s="125" customFormat="1" ht="17.25" customHeight="1" x14ac:dyDescent="0.3">
      <c r="N24" s="144"/>
      <c r="O24" s="144"/>
      <c r="P24" s="144"/>
      <c r="U24" s="140">
        <v>48</v>
      </c>
      <c r="V24" s="141" t="b">
        <f ca="1">INDEX(tblRound8[],MATCH(U24,tblRound8[Euro_Match_Number],0),MATCH(V23,tblRound8[#Headers],0))</f>
        <v>0</v>
      </c>
      <c r="W24" s="141" t="str">
        <f ca="1">INDEX(tblRound8[],MATCH(U24,tblRound8[Euro_Match_Number],0),MATCH(W23,tblRound8[#Headers],0))</f>
        <v>Winner Match 43</v>
      </c>
      <c r="X24" s="141" t="str">
        <f ca="1">IF($V24,""&amp;INDEX(tblRound8[],MATCH($U24,tblRound8[Euro_Match_Number],0),MATCH(X23,tblRound8[#Headers],0)),"")</f>
        <v/>
      </c>
      <c r="Y24" s="141" t="str">
        <f ca="1">IF($V24,""&amp;INDEX(tblRound8[],MATCH($U24,tblRound8[Euro_Match_Number],0),MATCH(Y23,tblRound8[#Headers],0)),"")</f>
        <v/>
      </c>
      <c r="Z24" s="141" t="str">
        <f ca="1">IF($V24,""&amp;INDEX(tblRound8[],MATCH($U24,tblRound8[Euro_Match_Number],0),MATCH(Z23,tblRound8[#Headers],0)),"")</f>
        <v/>
      </c>
      <c r="AA24" s="141" t="str">
        <f ca="1">""&amp;INDEX(tblRound8[],MATCH($U24,tblRound8[Euro_Match_Number],0),MATCH(AA23,tblRound8[#Headers],0))</f>
        <v>Winner Match 44</v>
      </c>
      <c r="AB24" s="141" t="str">
        <f ca="1">IF($V24,""&amp;INDEX(tblRound8[],MATCH($U24,tblRound8[Euro_Match_Number],0),MATCH(AB23,tblRound8[#Headers],0)),"")</f>
        <v/>
      </c>
      <c r="AC24" s="141" t="str">
        <f ca="1">IF($V24,""&amp;INDEX(tblRound8[],MATCH($U24,tblRound8[Euro_Match_Number],0),MATCH(AC23,tblRound8[#Headers],0)),"")</f>
        <v/>
      </c>
      <c r="AD24" s="141" t="str">
        <f ca="1">IF(V24,""&amp;INDEX(tblRound8[],MATCH(U24,tblRound8[Euro_Match_Number],0),MATCH(AD23,tblRound8[#Headers],0)),"")</f>
        <v/>
      </c>
      <c r="AE24" s="141" t="str">
        <f>""&amp;INDEX(tblRound8[],MATCH($U24,tblRound8[Euro_Match_Number],0),MATCH(AE23,tblRound8[#Headers],0))</f>
        <v>Sat 03 Jul 20:00</v>
      </c>
      <c r="AF24" s="142" t="str">
        <f>""&amp;INDEX(tblRound8[],MATCH($U24,tblRound8[Euro_Match_Number],0),MATCH(AF23,tblRound8[#Headers],0))</f>
        <v>Stadio Olimpico (ITA)</v>
      </c>
      <c r="AH24" s="143" t="str">
        <f ca="1">W24</f>
        <v>Winner Match 43</v>
      </c>
      <c r="AI24" s="143" t="str">
        <f ca="1">IF(LEN(AL24)&gt;0,AL24&amp;" AET",IF(LEN(AK24)&gt;0,AK24,""))</f>
        <v/>
      </c>
      <c r="AJ24" s="143" t="str">
        <f ca="1">IF(LEN(Z24)&gt;0,"("&amp;Z24&amp;")","")</f>
        <v/>
      </c>
      <c r="AK24" s="143" t="str">
        <f ca="1">X24</f>
        <v/>
      </c>
      <c r="AL24" s="143" t="str">
        <f ca="1">Y24</f>
        <v/>
      </c>
      <c r="AM24" s="144" t="e">
        <f ca="1">AND(V24,SUM(VALUE(X24),IF(Y24&lt;&gt;"",VALUE(Y24),0),IF(Z24&lt;&gt;"",VALUE(Z24),0))&gt;SUM(VALUE(AB24),IF(AC24&lt;&gt;"",VALUE(AC24),0),IF(AD24&lt;&gt;"",VALUE(AD24),0)))</f>
        <v>#VALUE!</v>
      </c>
      <c r="CC24" s="57"/>
      <c r="CD24" s="84"/>
      <c r="CE24" s="85"/>
      <c r="CF24" s="84"/>
      <c r="CG24" s="57"/>
      <c r="CI24" s="57"/>
      <c r="CJ24" s="78" t="str">
        <f t="array" aca="1" ref="CJ24:CL25" ca="1">AH24:AJ25</f>
        <v>Winner Match 43</v>
      </c>
      <c r="CK24" s="79" t="str">
        <f ca="1"/>
        <v/>
      </c>
      <c r="CL24" s="80" t="str">
        <f ca="1"/>
        <v/>
      </c>
      <c r="CM24" s="57"/>
    </row>
    <row r="25" spans="1:109" s="125" customFormat="1" ht="17.25" customHeight="1" x14ac:dyDescent="0.25">
      <c r="A25" s="132" t="s">
        <v>41</v>
      </c>
      <c r="B25" s="133" t="s">
        <v>192</v>
      </c>
      <c r="C25" s="133" t="s">
        <v>178</v>
      </c>
      <c r="D25" s="133" t="s">
        <v>179</v>
      </c>
      <c r="E25" s="133" t="s">
        <v>443</v>
      </c>
      <c r="F25" s="133" t="s">
        <v>182</v>
      </c>
      <c r="G25" s="133" t="s">
        <v>183</v>
      </c>
      <c r="H25" s="133" t="s">
        <v>184</v>
      </c>
      <c r="I25" s="133" t="s">
        <v>444</v>
      </c>
      <c r="J25" s="133" t="s">
        <v>187</v>
      </c>
      <c r="K25" s="133" t="s">
        <v>189</v>
      </c>
      <c r="L25" s="134" t="s">
        <v>177</v>
      </c>
      <c r="N25" s="147" t="str">
        <f>_xlfn.TEXTJOIN(" - ",TRUE,K26:L26)</f>
        <v>Tue 29 Jun 17:00 - Wembley Stadium (ENG)</v>
      </c>
      <c r="O25" s="148"/>
      <c r="P25" s="148"/>
      <c r="Q25" s="148"/>
      <c r="R25" s="149"/>
      <c r="S25" s="150"/>
      <c r="AH25" s="145" t="str">
        <f ca="1">AA24</f>
        <v>Winner Match 44</v>
      </c>
      <c r="AI25" s="145" t="str">
        <f ca="1">IF(LEN(AL25)&gt;0,AL25&amp;" AET",IF(LEN(AK25)&gt;0,AK25,""))</f>
        <v/>
      </c>
      <c r="AJ25" s="145" t="str">
        <f ca="1">IF(LEN(AD24)&gt;0,"("&amp;AD24&amp;")","")</f>
        <v/>
      </c>
      <c r="AK25" s="145" t="str">
        <f ca="1">AB24</f>
        <v/>
      </c>
      <c r="AL25" s="145" t="str">
        <f ca="1">AC24</f>
        <v/>
      </c>
      <c r="AM25" s="144" t="e">
        <f ca="1">AND(V24,SUM(VALUE(X24),IF(Y24&lt;&gt;"",VALUE(Y24),0),IF(Z24&lt;&gt;"",VALUE(Z24),0))&lt;SUM(VALUE(AB24),IF(AC24&lt;&gt;"",VALUE(AC24),0),IF(AD24&lt;&gt;"",VALUE(AD24),0)))</f>
        <v>#VALUE!</v>
      </c>
      <c r="CC25" s="57"/>
      <c r="CD25" s="163" t="str">
        <f>N25</f>
        <v>Tue 29 Jun 17:00 - Wembley Stadium (ENG)</v>
      </c>
      <c r="CE25" s="163"/>
      <c r="CF25" s="163"/>
      <c r="CG25" s="57"/>
      <c r="CI25" s="57"/>
      <c r="CJ25" s="81" t="str">
        <f ca="1"/>
        <v>Winner Match 44</v>
      </c>
      <c r="CK25" s="82" t="str">
        <f ca="1"/>
        <v/>
      </c>
      <c r="CL25" s="83" t="str">
        <f ca="1"/>
        <v/>
      </c>
      <c r="CM25" s="57"/>
    </row>
    <row r="26" spans="1:109" s="125" customFormat="1" ht="17.25" customHeight="1" x14ac:dyDescent="0.25">
      <c r="A26" s="140">
        <v>44</v>
      </c>
      <c r="B26" s="141" t="b">
        <f ca="1">INDEX(tblRound16[],MATCH($A26,tblRound16[Euro_Match_Number],0),MATCH(B25,tblRound16[#Headers],0))</f>
        <v>0</v>
      </c>
      <c r="C26" s="141" t="str">
        <f ca="1">INDEX(tblRound16[],MATCH($A26,tblRound16[Euro_Match_Number],0),MATCH(C25,tblRound16[#Headers],0))</f>
        <v>Winner Group D</v>
      </c>
      <c r="D26" s="141" t="str">
        <f ca="1">IF(B26,""&amp;INDEX(tblRound16[],MATCH($A26,tblRound16[Euro_Match_Number],0),MATCH(D25,tblRound16[#Headers],0)),"")</f>
        <v/>
      </c>
      <c r="E26" s="141" t="str">
        <f ca="1">IF(B26,""&amp;INDEX(tblRound16[],MATCH($A26,tblRound16[Euro_Match_Number],0),MATCH(E25,tblRound16[#Headers],0)),"")</f>
        <v/>
      </c>
      <c r="F26" s="141" t="str">
        <f ca="1">IF(B26,""&amp;INDEX(tblRound16[],MATCH($A26,tblRound16[Euro_Match_Number],0),MATCH(F25,tblRound16[#Headers],0)),"")</f>
        <v/>
      </c>
      <c r="G26" s="141" t="str">
        <f ca="1">INDEX(tblRound16[],MATCH(A26,tblRound16[Euro_Match_Number],0),MATCH(G25,tblRound16[#Headers],0))</f>
        <v>Runner-Up Group F</v>
      </c>
      <c r="H26" s="141" t="str">
        <f ca="1">IF(B26,""&amp;INDEX(tblRound16[],MATCH($A26,tblRound16[Euro_Match_Number],0),MATCH(H25,tblRound16[#Headers],0)),"")</f>
        <v/>
      </c>
      <c r="I26" s="141" t="str">
        <f ca="1">IF(B26,""&amp;INDEX(tblRound16[],MATCH($A26,tblRound16[Euro_Match_Number],0),MATCH(I25,tblRound16[#Headers],0)),"")</f>
        <v/>
      </c>
      <c r="J26" s="141" t="str">
        <f ca="1">IF(B26,""&amp;INDEX(tblRound16[],MATCH($A26,tblRound16[Euro_Match_Number],0),MATCH(J25,tblRound16[#Headers],0)),"")</f>
        <v/>
      </c>
      <c r="K26" s="141" t="str">
        <f>INDEX(tblRound16[],MATCH(A26,tblRound16[Euro_Match_Number],0),MATCH(K25,tblRound16[#Headers],0))</f>
        <v>Tue 29 Jun 17:00</v>
      </c>
      <c r="L26" s="142" t="str">
        <f>INDEX(tblRound16[],MATCH(A26,tblRound16[Euro_Match_Number],0),MATCH(L25,tblRound16[#Headers],0))</f>
        <v>Wembley Stadium (ENG)</v>
      </c>
      <c r="N26" s="143" t="str">
        <f ca="1">C26</f>
        <v>Winner Group D</v>
      </c>
      <c r="O26" s="143" t="str">
        <f ca="1">IF(LEN(R26)&gt;0,R26&amp;" AET",IF(LEN(Q26)&gt;0,Q26,""))</f>
        <v/>
      </c>
      <c r="P26" s="143" t="str">
        <f ca="1">IF(LEN(F26)&gt;0,"("&amp;F26&amp;")","")</f>
        <v/>
      </c>
      <c r="Q26" s="143" t="str">
        <f ca="1">D26</f>
        <v/>
      </c>
      <c r="R26" s="143" t="str">
        <f ca="1">E26</f>
        <v/>
      </c>
      <c r="S26" s="144" t="e">
        <f ca="1">AND(B26,SUM(VALUE(D26),IF(E26&lt;&gt;"",VALUE(E26),0),IF(F26&lt;&gt;"",VALUE(F26),0))&gt;SUM(VALUE(H26),IF(I26&lt;&gt;"",VALUE(I26),0),IF(J26&lt;&gt;"",VALUE(J26),0)))</f>
        <v>#VALUE!</v>
      </c>
      <c r="CC26" s="57"/>
      <c r="CD26" s="78" t="str">
        <f t="array" aca="1" ref="CD26:CF27" ca="1">N26:P27</f>
        <v>Winner Group D</v>
      </c>
      <c r="CE26" s="79" t="str">
        <f ca="1"/>
        <v/>
      </c>
      <c r="CF26" s="80" t="str">
        <f ca="1"/>
        <v/>
      </c>
      <c r="CG26" s="57"/>
      <c r="CI26" s="57"/>
      <c r="CJ26" s="57"/>
      <c r="CK26" s="56"/>
      <c r="CL26" s="57"/>
      <c r="CM26" s="57"/>
      <c r="CO26" s="57"/>
      <c r="CP26" s="57"/>
      <c r="CQ26" s="57"/>
      <c r="CR26" s="57"/>
      <c r="CS26" s="57"/>
    </row>
    <row r="27" spans="1:109" s="125" customFormat="1" ht="17.25" customHeight="1" x14ac:dyDescent="0.25">
      <c r="N27" s="145" t="str">
        <f ca="1">G26</f>
        <v>Runner-Up Group F</v>
      </c>
      <c r="O27" s="145" t="str">
        <f ca="1">IF(LEN(R27)&gt;0,R27&amp;" AET",IF(LEN(Q27)&gt;0,Q27,""))</f>
        <v/>
      </c>
      <c r="P27" s="145" t="str">
        <f ca="1">IF(LEN(J26)&gt;0,"("&amp;J26&amp;")","")</f>
        <v/>
      </c>
      <c r="Q27" s="145" t="str">
        <f ca="1">H26</f>
        <v/>
      </c>
      <c r="R27" s="145" t="str">
        <f ca="1">I26</f>
        <v/>
      </c>
      <c r="S27" s="144" t="e">
        <f ca="1">AND(B26,SUM(VALUE(D26),IF(E26&lt;&gt;"",VALUE(E26),0),IF(F26&lt;&gt;"",VALUE(F26),0))&lt;SUM(VALUE(H26),IF(I26&lt;&gt;"",VALUE(I26),0),IF(J26&lt;&gt;"",VALUE(J26),0)))</f>
        <v>#VALUE!</v>
      </c>
      <c r="AO27" s="132" t="s">
        <v>41</v>
      </c>
      <c r="AP27" s="133" t="s">
        <v>192</v>
      </c>
      <c r="AQ27" s="133" t="s">
        <v>178</v>
      </c>
      <c r="AR27" s="133" t="s">
        <v>179</v>
      </c>
      <c r="AS27" s="133" t="s">
        <v>443</v>
      </c>
      <c r="AT27" s="133" t="s">
        <v>182</v>
      </c>
      <c r="AU27" s="133" t="s">
        <v>183</v>
      </c>
      <c r="AV27" s="133" t="s">
        <v>184</v>
      </c>
      <c r="AW27" s="133" t="s">
        <v>444</v>
      </c>
      <c r="AX27" s="133" t="s">
        <v>187</v>
      </c>
      <c r="AY27" s="133" t="s">
        <v>189</v>
      </c>
      <c r="AZ27" s="134" t="s">
        <v>177</v>
      </c>
      <c r="BB27" s="135" t="str">
        <f>_xlfn.TEXTJOIN(" - ",TRUE,AY28:AZ28)</f>
        <v>Wed 07 Jul 20:00 - Wembley Stadium (ENG)</v>
      </c>
      <c r="BC27" s="136"/>
      <c r="BD27" s="136"/>
      <c r="BE27" s="137"/>
      <c r="BF27" s="138"/>
      <c r="BG27" s="139"/>
      <c r="CC27" s="57"/>
      <c r="CD27" s="81" t="str">
        <f ca="1"/>
        <v>Runner-Up Group F</v>
      </c>
      <c r="CE27" s="82" t="str">
        <f ca="1"/>
        <v/>
      </c>
      <c r="CF27" s="83" t="str">
        <f ca="1"/>
        <v/>
      </c>
      <c r="CG27" s="57"/>
      <c r="CK27" s="88"/>
      <c r="CO27" s="57"/>
      <c r="CP27" s="163" t="str">
        <f>BB27</f>
        <v>Wed 07 Jul 20:00 - Wembley Stadium (ENG)</v>
      </c>
      <c r="CQ27" s="163"/>
      <c r="CR27" s="163"/>
      <c r="CS27" s="57"/>
    </row>
    <row r="28" spans="1:109" s="125" customFormat="1" ht="17.25" customHeight="1" x14ac:dyDescent="0.3">
      <c r="N28" s="144"/>
      <c r="O28" s="144"/>
      <c r="P28" s="144"/>
      <c r="AO28" s="140">
        <v>50</v>
      </c>
      <c r="AP28" s="141" t="b">
        <f ca="1">INDEX(tblRound4[],MATCH(AO28,tblRound4[Euro_Match_Number],0),MATCH(AP27,tblRound4[#Headers],0))</f>
        <v>0</v>
      </c>
      <c r="AQ28" s="141" t="str">
        <f ca="1">INDEX(tblRound4[],MATCH(AO28,tblRound4[Euro_Match_Number],0),MATCH(AQ27,tblRound4[#Headers],0))</f>
        <v>Winner Match 48</v>
      </c>
      <c r="AR28" s="141" t="str">
        <f ca="1">IF($AP28,""&amp;INDEX(tblRound4[],MATCH($AO28,tblRound4[Euro_Match_Number],0),MATCH(AR27,tblRound4[#Headers],0)),"")</f>
        <v/>
      </c>
      <c r="AS28" s="141" t="str">
        <f ca="1">IF($AP28,""&amp;INDEX(tblRound4[],MATCH($AO28,tblRound4[Euro_Match_Number],0),MATCH(AS27,tblRound4[#Headers],0)),"")</f>
        <v/>
      </c>
      <c r="AT28" s="141" t="str">
        <f ca="1">IF($AP28,""&amp;INDEX(tblRound4[],MATCH($AO28,tblRound4[Euro_Match_Number],0),MATCH(AT27,tblRound4[#Headers],0)),"")</f>
        <v/>
      </c>
      <c r="AU28" s="141" t="str">
        <f ca="1">""&amp;INDEX(tblRound4[],MATCH(AO28,tblRound4[Euro_Match_Number],0),MATCH(AU27,tblRound4[#Headers],0))</f>
        <v>Winner Match 47</v>
      </c>
      <c r="AV28" s="141" t="str">
        <f ca="1">IF($AP28,""&amp;INDEX(tblRound4[],MATCH($AO28,tblRound4[Euro_Match_Number],0),MATCH(AV27,tblRound4[#Headers],0)),"")</f>
        <v/>
      </c>
      <c r="AW28" s="141" t="str">
        <f ca="1">IF($AP28,""&amp;INDEX(tblRound4[],MATCH($AO28,tblRound4[Euro_Match_Number],0),MATCH(AW27,tblRound4[#Headers],0)),"")</f>
        <v/>
      </c>
      <c r="AX28" s="141" t="str">
        <f ca="1">IF($AP28,""&amp;INDEX(tblRound4[],MATCH($AO28,tblRound4[Euro_Match_Number],0),MATCH(AX27,tblRound4[#Headers],0)),"")</f>
        <v/>
      </c>
      <c r="AY28" s="141" t="str">
        <f>""&amp;INDEX(tblRound4[],MATCH(AO28,tblRound4[Euro_Match_Number],0),MATCH(AY27,tblRound4[#Headers],0))</f>
        <v>Wed 07 Jul 20:00</v>
      </c>
      <c r="AZ28" s="142" t="str">
        <f>""&amp;INDEX(tblRound4[],MATCH(AO28,tblRound4[Euro_Match_Number],0),MATCH(AZ27,tblRound4[#Headers],0))</f>
        <v>Wembley Stadium (ENG)</v>
      </c>
      <c r="BB28" s="143" t="str">
        <f ca="1">AQ28</f>
        <v>Winner Match 48</v>
      </c>
      <c r="BC28" s="143" t="str">
        <f ca="1">IF(LEN(BF28)&gt;0,BF28&amp;" AET",IF(LEN(BE28)&gt;0,BE28,""))</f>
        <v/>
      </c>
      <c r="BD28" s="143" t="str">
        <f ca="1">IF(LEN(AT28)&gt;0,"("&amp;AT28&amp;")","")</f>
        <v/>
      </c>
      <c r="BE28" s="143" t="str">
        <f ca="1">AR28</f>
        <v/>
      </c>
      <c r="BF28" s="143" t="str">
        <f ca="1">AS28</f>
        <v/>
      </c>
      <c r="BG28" s="144" t="e">
        <f ca="1">AND(AP28,SUM(VALUE(AR28),IF(AS28&lt;&gt;"",VALUE(AS28),0),IF(AT28&lt;&gt;"",VALUE(AT28),0))&gt;SUM(VALUE(AV28),IF(AW28&lt;&gt;"",VALUE(AW28),0),IF(AX28&lt;&gt;"",VALUE(AX28),0)))</f>
        <v>#VALUE!</v>
      </c>
      <c r="CC28" s="57"/>
      <c r="CD28" s="84"/>
      <c r="CE28" s="85"/>
      <c r="CF28" s="84"/>
      <c r="CG28" s="57"/>
      <c r="CK28" s="88"/>
      <c r="CO28" s="57"/>
      <c r="CP28" s="78" t="str">
        <f t="array" aca="1" ref="CP28:CR29" ca="1">BB28:BD29</f>
        <v>Winner Match 48</v>
      </c>
      <c r="CQ28" s="86" t="str">
        <f ca="1"/>
        <v/>
      </c>
      <c r="CR28" s="80" t="str">
        <f ca="1"/>
        <v/>
      </c>
      <c r="CS28" s="57"/>
    </row>
    <row r="29" spans="1:109" s="125" customFormat="1" ht="17.25" customHeight="1" x14ac:dyDescent="0.25">
      <c r="A29" s="132" t="s">
        <v>41</v>
      </c>
      <c r="B29" s="133" t="s">
        <v>192</v>
      </c>
      <c r="C29" s="133" t="s">
        <v>178</v>
      </c>
      <c r="D29" s="133" t="s">
        <v>179</v>
      </c>
      <c r="E29" s="133" t="s">
        <v>443</v>
      </c>
      <c r="F29" s="133" t="s">
        <v>182</v>
      </c>
      <c r="G29" s="133" t="s">
        <v>183</v>
      </c>
      <c r="H29" s="133" t="s">
        <v>184</v>
      </c>
      <c r="I29" s="133" t="s">
        <v>444</v>
      </c>
      <c r="J29" s="133" t="s">
        <v>187</v>
      </c>
      <c r="K29" s="133" t="s">
        <v>189</v>
      </c>
      <c r="L29" s="134" t="s">
        <v>177</v>
      </c>
      <c r="N29" s="147" t="str">
        <f>_xlfn.TEXTJOIN(" - ",TRUE,K30:L30)</f>
        <v>Sun 27 Jun 17:00 - Puskas Arena (HUN)</v>
      </c>
      <c r="O29" s="148"/>
      <c r="P29" s="148"/>
      <c r="Q29" s="148"/>
      <c r="R29" s="149"/>
      <c r="S29" s="150"/>
      <c r="BB29" s="145" t="str">
        <f ca="1">AU28</f>
        <v>Winner Match 47</v>
      </c>
      <c r="BC29" s="145" t="str">
        <f ca="1">IF(LEN(BF29)&gt;0,BF29&amp;" AET",IF(LEN(BE29)&gt;0,BE29,""))</f>
        <v/>
      </c>
      <c r="BD29" s="145" t="str">
        <f ca="1">IF(LEN(AX28)&gt;0,"("&amp;AX28&amp;")","")</f>
        <v/>
      </c>
      <c r="BE29" s="145" t="str">
        <f ca="1">AV28</f>
        <v/>
      </c>
      <c r="BF29" s="145" t="str">
        <f ca="1">AW28</f>
        <v/>
      </c>
      <c r="BG29" s="144" t="e">
        <f ca="1">AND(AP28,SUM(VALUE(AR28),IF(AS28&lt;&gt;"",VALUE(AS28),0),IF(AT28&lt;&gt;"",VALUE(AT28),0))&lt;SUM(VALUE(AV28),IF(AW28&lt;&gt;"",VALUE(AW28),0),IF(AX28&lt;&gt;"",VALUE(AX28),0)))</f>
        <v>#VALUE!</v>
      </c>
      <c r="CC29" s="57"/>
      <c r="CD29" s="163" t="str">
        <f>N29</f>
        <v>Sun 27 Jun 17:00 - Puskas Arena (HUN)</v>
      </c>
      <c r="CE29" s="163"/>
      <c r="CF29" s="163"/>
      <c r="CG29" s="57"/>
      <c r="CK29" s="88"/>
      <c r="CO29" s="57"/>
      <c r="CP29" s="81" t="str">
        <f ca="1"/>
        <v>Winner Match 47</v>
      </c>
      <c r="CQ29" s="87" t="str">
        <f ca="1"/>
        <v/>
      </c>
      <c r="CR29" s="83" t="str">
        <f ca="1"/>
        <v/>
      </c>
      <c r="CS29" s="57"/>
    </row>
    <row r="30" spans="1:109" s="125" customFormat="1" ht="17.25" customHeight="1" x14ac:dyDescent="0.25">
      <c r="A30" s="140">
        <v>40</v>
      </c>
      <c r="B30" s="141" t="b">
        <f ca="1">INDEX(tblRound16[],MATCH($A30,tblRound16[Euro_Match_Number],0),MATCH(B29,tblRound16[#Headers],0))</f>
        <v>0</v>
      </c>
      <c r="C30" s="141" t="str">
        <f ca="1">INDEX(tblRound16[],MATCH($A30,tblRound16[Euro_Match_Number],0),MATCH(C29,tblRound16[#Headers],0))</f>
        <v>Winner Group C</v>
      </c>
      <c r="D30" s="141" t="str">
        <f ca="1">IF(B30,""&amp;INDEX(tblRound16[],MATCH($A30,tblRound16[Euro_Match_Number],0),MATCH(D29,tblRound16[#Headers],0)),"")</f>
        <v/>
      </c>
      <c r="E30" s="141" t="str">
        <f ca="1">IF(B30,""&amp;INDEX(tblRound16[],MATCH($A30,tblRound16[Euro_Match_Number],0),MATCH(E29,tblRound16[#Headers],0)),"")</f>
        <v/>
      </c>
      <c r="F30" s="141" t="str">
        <f ca="1">IF(B30,""&amp;INDEX(tblRound16[],MATCH($A30,tblRound16[Euro_Match_Number],0),MATCH(F29,tblRound16[#Headers],0)),"")</f>
        <v/>
      </c>
      <c r="G30" s="141" t="str">
        <f ca="1">INDEX(tblRound16[],MATCH(A30,tblRound16[Euro_Match_Number],0),MATCH(G29,tblRound16[#Headers],0))</f>
        <v>3rd Group D/E/F</v>
      </c>
      <c r="H30" s="141" t="str">
        <f ca="1">IF(B30,""&amp;INDEX(tblRound16[],MATCH($A30,tblRound16[Euro_Match_Number],0),MATCH(H29,tblRound16[#Headers],0)),"")</f>
        <v/>
      </c>
      <c r="I30" s="141" t="str">
        <f ca="1">IF(B30,""&amp;INDEX(tblRound16[],MATCH($A30,tblRound16[Euro_Match_Number],0),MATCH(I29,tblRound16[#Headers],0)),"")</f>
        <v/>
      </c>
      <c r="J30" s="141" t="str">
        <f ca="1">IF(B30,""&amp;INDEX(tblRound16[],MATCH($A30,tblRound16[Euro_Match_Number],0),MATCH(J29,tblRound16[#Headers],0)),"")</f>
        <v/>
      </c>
      <c r="K30" s="141" t="str">
        <f>INDEX(tblRound16[],MATCH(A30,tblRound16[Euro_Match_Number],0),MATCH(K29,tblRound16[#Headers],0))</f>
        <v>Sun 27 Jun 17:00</v>
      </c>
      <c r="L30" s="142" t="str">
        <f>INDEX(tblRound16[],MATCH(A30,tblRound16[Euro_Match_Number],0),MATCH(L29,tblRound16[#Headers],0))</f>
        <v>Puskas Arena (HUN)</v>
      </c>
      <c r="N30" s="143" t="str">
        <f ca="1">C30</f>
        <v>Winner Group C</v>
      </c>
      <c r="O30" s="143" t="str">
        <f ca="1">IF(LEN(R30)&gt;0,R30&amp;" AET",IF(LEN(Q30)&gt;0,Q30,""))</f>
        <v/>
      </c>
      <c r="P30" s="143" t="str">
        <f ca="1">IF(LEN(F30)&gt;0,"("&amp;F30&amp;")","")</f>
        <v/>
      </c>
      <c r="Q30" s="143" t="str">
        <f ca="1">D30</f>
        <v/>
      </c>
      <c r="R30" s="143" t="str">
        <f ca="1">E30</f>
        <v/>
      </c>
      <c r="S30" s="144" t="e">
        <f ca="1">AND(B30,SUM(VALUE(D30),IF(E30&lt;&gt;"",VALUE(E30),0),IF(F30&lt;&gt;"",VALUE(F30),0))&gt;SUM(VALUE(H30),IF(I30&lt;&gt;"",VALUE(I30),0),IF(J30&lt;&gt;"",VALUE(J30),0)))</f>
        <v>#VALUE!</v>
      </c>
      <c r="CC30" s="57"/>
      <c r="CD30" s="78" t="str">
        <f t="array" aca="1" ref="CD30:CF31" ca="1">N30:P31</f>
        <v>Winner Group C</v>
      </c>
      <c r="CE30" s="79" t="str">
        <f ca="1"/>
        <v/>
      </c>
      <c r="CF30" s="80" t="str">
        <f ca="1"/>
        <v/>
      </c>
      <c r="CG30" s="57"/>
      <c r="CI30" s="57"/>
      <c r="CJ30" s="57"/>
      <c r="CK30" s="56"/>
      <c r="CL30" s="57"/>
      <c r="CM30" s="57"/>
      <c r="CO30" s="57"/>
      <c r="CP30" s="57"/>
      <c r="CQ30" s="57"/>
      <c r="CR30" s="57"/>
      <c r="CS30" s="57"/>
    </row>
    <row r="31" spans="1:109" s="125" customFormat="1" ht="17.25" customHeight="1" x14ac:dyDescent="0.25">
      <c r="N31" s="145" t="str">
        <f ca="1">G30</f>
        <v>3rd Group D/E/F</v>
      </c>
      <c r="O31" s="145" t="str">
        <f ca="1">IF(LEN(R31)&gt;0,R31&amp;" AET",IF(LEN(Q31)&gt;0,Q31,""))</f>
        <v/>
      </c>
      <c r="P31" s="145" t="str">
        <f ca="1">IF(LEN(J30)&gt;0,"("&amp;J30&amp;")","")</f>
        <v/>
      </c>
      <c r="Q31" s="145" t="str">
        <f ca="1">H30</f>
        <v/>
      </c>
      <c r="R31" s="145" t="str">
        <f ca="1">I30</f>
        <v/>
      </c>
      <c r="S31" s="144" t="e">
        <f ca="1">AND(B30,SUM(VALUE(D30),IF(E30&lt;&gt;"",VALUE(E30),0),IF(F30&lt;&gt;"",VALUE(F30),0))&lt;SUM(VALUE(H30),IF(I30&lt;&gt;"",VALUE(I30),0),IF(J30&lt;&gt;"",VALUE(J30),0)))</f>
        <v>#VALUE!</v>
      </c>
      <c r="U31" s="132" t="s">
        <v>41</v>
      </c>
      <c r="V31" s="133" t="s">
        <v>192</v>
      </c>
      <c r="W31" s="133" t="s">
        <v>178</v>
      </c>
      <c r="X31" s="133" t="s">
        <v>179</v>
      </c>
      <c r="Y31" s="133" t="s">
        <v>443</v>
      </c>
      <c r="Z31" s="133" t="s">
        <v>182</v>
      </c>
      <c r="AA31" s="133" t="s">
        <v>183</v>
      </c>
      <c r="AB31" s="133" t="s">
        <v>184</v>
      </c>
      <c r="AC31" s="133" t="s">
        <v>444</v>
      </c>
      <c r="AD31" s="133" t="s">
        <v>187</v>
      </c>
      <c r="AE31" s="133" t="s">
        <v>189</v>
      </c>
      <c r="AF31" s="134" t="s">
        <v>177</v>
      </c>
      <c r="AH31" s="135" t="str">
        <f>_xlfn.TEXTJOIN(" - ",TRUE,AE32:AF32)</f>
        <v>Sat 03 Jul 17:00 - Olympic Stadium (AZE)</v>
      </c>
      <c r="AI31" s="136"/>
      <c r="AJ31" s="136"/>
      <c r="AK31" s="137"/>
      <c r="AL31" s="138"/>
      <c r="AM31" s="139"/>
      <c r="CC31" s="57"/>
      <c r="CD31" s="81" t="str">
        <f ca="1"/>
        <v>3rd Group D/E/F</v>
      </c>
      <c r="CE31" s="82" t="str">
        <f ca="1"/>
        <v/>
      </c>
      <c r="CF31" s="83" t="str">
        <f ca="1"/>
        <v/>
      </c>
      <c r="CG31" s="57"/>
      <c r="CI31" s="57"/>
      <c r="CJ31" s="163" t="str">
        <f>AH31</f>
        <v>Sat 03 Jul 17:00 - Olympic Stadium (AZE)</v>
      </c>
      <c r="CK31" s="163"/>
      <c r="CL31" s="163"/>
      <c r="CM31" s="57"/>
    </row>
    <row r="32" spans="1:109" s="125" customFormat="1" ht="17.25" customHeight="1" x14ac:dyDescent="0.3">
      <c r="N32" s="144"/>
      <c r="O32" s="144"/>
      <c r="P32" s="144"/>
      <c r="U32" s="140">
        <v>47</v>
      </c>
      <c r="V32" s="141" t="b">
        <f ca="1">INDEX(tblRound8[],MATCH(U32,tblRound8[Euro_Match_Number],0),MATCH(V31,tblRound8[#Headers],0))</f>
        <v>0</v>
      </c>
      <c r="W32" s="141" t="str">
        <f ca="1">INDEX(tblRound8[],MATCH(U32,tblRound8[Euro_Match_Number],0),MATCH(W31,tblRound8[#Headers],0))</f>
        <v>Winner Match 40</v>
      </c>
      <c r="X32" s="141" t="str">
        <f ca="1">IF($V32,""&amp;INDEX(tblRound8[],MATCH($U32,tblRound8[Euro_Match_Number],0),MATCH(X31,tblRound8[#Headers],0)),"")</f>
        <v/>
      </c>
      <c r="Y32" s="141" t="str">
        <f ca="1">IF($V32,""&amp;INDEX(tblRound8[],MATCH($U32,tblRound8[Euro_Match_Number],0),MATCH(Y31,tblRound8[#Headers],0)),"")</f>
        <v/>
      </c>
      <c r="Z32" s="141" t="str">
        <f ca="1">IF($V32,""&amp;INDEX(tblRound8[],MATCH($U32,tblRound8[Euro_Match_Number],0),MATCH(Z31,tblRound8[#Headers],0)),"")</f>
        <v/>
      </c>
      <c r="AA32" s="141" t="str">
        <f ca="1">""&amp;INDEX(tblRound8[],MATCH($U32,tblRound8[Euro_Match_Number],0),MATCH(AA31,tblRound8[#Headers],0))</f>
        <v>Winner Match 38</v>
      </c>
      <c r="AB32" s="141" t="str">
        <f ca="1">IF($V32,""&amp;INDEX(tblRound8[],MATCH($U32,tblRound8[Euro_Match_Number],0),MATCH(AB31,tblRound8[#Headers],0)),"")</f>
        <v/>
      </c>
      <c r="AC32" s="141" t="str">
        <f ca="1">IF($V32,""&amp;INDEX(tblRound8[],MATCH($U32,tblRound8[Euro_Match_Number],0),MATCH(AC31,tblRound8[#Headers],0)),"")</f>
        <v/>
      </c>
      <c r="AD32" s="141" t="str">
        <f ca="1">IF(V32,""&amp;INDEX(tblRound8[],MATCH(U32,tblRound8[Euro_Match_Number],0),MATCH(AD31,tblRound8[#Headers],0)),"")</f>
        <v/>
      </c>
      <c r="AE32" s="141" t="str">
        <f>""&amp;INDEX(tblRound8[],MATCH($U32,tblRound8[Euro_Match_Number],0),MATCH(AE31,tblRound8[#Headers],0))</f>
        <v>Sat 03 Jul 17:00</v>
      </c>
      <c r="AF32" s="142" t="str">
        <f>""&amp;INDEX(tblRound8[],MATCH($U32,tblRound8[Euro_Match_Number],0),MATCH(AF31,tblRound8[#Headers],0))</f>
        <v>Olympic Stadium (AZE)</v>
      </c>
      <c r="AH32" s="143" t="str">
        <f ca="1">W32</f>
        <v>Winner Match 40</v>
      </c>
      <c r="AI32" s="143" t="str">
        <f ca="1">IF(LEN(AL32)&gt;0,AL32&amp;" AET",IF(LEN(AK32)&gt;0,AK32,""))</f>
        <v/>
      </c>
      <c r="AJ32" s="143" t="str">
        <f ca="1">IF(LEN(Z32)&gt;0,"("&amp;Z32&amp;")","")</f>
        <v/>
      </c>
      <c r="AK32" s="143" t="str">
        <f ca="1">X32</f>
        <v/>
      </c>
      <c r="AL32" s="143" t="str">
        <f ca="1">Y32</f>
        <v/>
      </c>
      <c r="AM32" s="144" t="e">
        <f ca="1">AND(V32,SUM(VALUE(X32),IF(Y32&lt;&gt;"",VALUE(Y32),0),IF(Z32&lt;&gt;"",VALUE(Z32),0))&gt;SUM(VALUE(AB32),IF(AC32&lt;&gt;"",VALUE(AC32),0),IF(AD32&lt;&gt;"",VALUE(AD32),0)))</f>
        <v>#VALUE!</v>
      </c>
      <c r="CC32" s="57"/>
      <c r="CD32" s="84"/>
      <c r="CE32" s="85"/>
      <c r="CF32" s="84"/>
      <c r="CG32" s="57"/>
      <c r="CI32" s="57"/>
      <c r="CJ32" s="78" t="str">
        <f t="array" aca="1" ref="CJ32:CL33" ca="1">AH32:AJ33</f>
        <v>Winner Match 40</v>
      </c>
      <c r="CK32" s="79" t="str">
        <f ca="1"/>
        <v/>
      </c>
      <c r="CL32" s="80" t="str">
        <f ca="1"/>
        <v/>
      </c>
      <c r="CM32" s="57"/>
    </row>
    <row r="33" spans="1:91" s="125" customFormat="1" ht="17.25" customHeight="1" x14ac:dyDescent="0.25">
      <c r="A33" s="132" t="s">
        <v>41</v>
      </c>
      <c r="B33" s="133" t="s">
        <v>192</v>
      </c>
      <c r="C33" s="133" t="s">
        <v>178</v>
      </c>
      <c r="D33" s="133" t="s">
        <v>179</v>
      </c>
      <c r="E33" s="133" t="s">
        <v>443</v>
      </c>
      <c r="F33" s="133" t="s">
        <v>182</v>
      </c>
      <c r="G33" s="133" t="s">
        <v>183</v>
      </c>
      <c r="H33" s="133" t="s">
        <v>184</v>
      </c>
      <c r="I33" s="133" t="s">
        <v>444</v>
      </c>
      <c r="J33" s="133" t="s">
        <v>187</v>
      </c>
      <c r="K33" s="133" t="s">
        <v>189</v>
      </c>
      <c r="L33" s="134" t="s">
        <v>177</v>
      </c>
      <c r="N33" s="147" t="str">
        <f>_xlfn.TEXTJOIN(" - ",TRUE,K34:L34)</f>
        <v>Fri 26 Feb 17:00 - Johan Cruyff Arena (NET)</v>
      </c>
      <c r="O33" s="148"/>
      <c r="P33" s="148"/>
      <c r="Q33" s="148"/>
      <c r="R33" s="149"/>
      <c r="S33" s="150"/>
      <c r="AH33" s="145" t="str">
        <f ca="1">AA32</f>
        <v>Winner Match 38</v>
      </c>
      <c r="AI33" s="145" t="str">
        <f ca="1">IF(LEN(AL33)&gt;0,AL33&amp;" AET",IF(LEN(AK33)&gt;0,AK33,""))</f>
        <v/>
      </c>
      <c r="AJ33" s="145" t="str">
        <f ca="1">IF(LEN(AD32)&gt;0,"("&amp;AD32&amp;")","")</f>
        <v/>
      </c>
      <c r="AK33" s="145" t="str">
        <f ca="1">AB32</f>
        <v/>
      </c>
      <c r="AL33" s="145" t="str">
        <f ca="1">AC32</f>
        <v/>
      </c>
      <c r="AM33" s="144" t="e">
        <f ca="1">AND(V32,SUM(VALUE(X32),IF(Y32&lt;&gt;"",VALUE(Y32),0),IF(Z32&lt;&gt;"",VALUE(Z32),0))&lt;SUM(VALUE(AB32),IF(AC32&lt;&gt;"",VALUE(AC32),0),IF(AD32&lt;&gt;"",VALUE(AD32),0)))</f>
        <v>#VALUE!</v>
      </c>
      <c r="CC33" s="57"/>
      <c r="CD33" s="163" t="str">
        <f>N33</f>
        <v>Fri 26 Feb 17:00 - Johan Cruyff Arena (NET)</v>
      </c>
      <c r="CE33" s="163"/>
      <c r="CF33" s="163"/>
      <c r="CG33" s="57"/>
      <c r="CI33" s="57"/>
      <c r="CJ33" s="81" t="str">
        <f ca="1"/>
        <v>Winner Match 38</v>
      </c>
      <c r="CK33" s="82" t="str">
        <f ca="1"/>
        <v/>
      </c>
      <c r="CL33" s="83" t="str">
        <f ca="1"/>
        <v/>
      </c>
      <c r="CM33" s="57"/>
    </row>
    <row r="34" spans="1:91" s="125" customFormat="1" ht="17.25" customHeight="1" x14ac:dyDescent="0.25">
      <c r="A34" s="140">
        <v>38</v>
      </c>
      <c r="B34" s="141" t="b">
        <f ca="1">INDEX(tblRound16[],MATCH($A34,tblRound16[Euro_Match_Number],0),MATCH(B33,tblRound16[#Headers],0))</f>
        <v>0</v>
      </c>
      <c r="C34" s="141" t="str">
        <f ca="1">INDEX(tblRound16[],MATCH($A34,tblRound16[Euro_Match_Number],0),MATCH(C33,tblRound16[#Headers],0))</f>
        <v>Runner-Up Group A</v>
      </c>
      <c r="D34" s="141" t="str">
        <f ca="1">IF(B34,""&amp;INDEX(tblRound16[],MATCH($A34,tblRound16[Euro_Match_Number],0),MATCH(D33,tblRound16[#Headers],0)),"")</f>
        <v/>
      </c>
      <c r="E34" s="141" t="str">
        <f ca="1">IF(B34,""&amp;INDEX(tblRound16[],MATCH($A34,tblRound16[Euro_Match_Number],0),MATCH(E33,tblRound16[#Headers],0)),"")</f>
        <v/>
      </c>
      <c r="F34" s="141" t="str">
        <f ca="1">IF(B34,""&amp;INDEX(tblRound16[],MATCH($A34,tblRound16[Euro_Match_Number],0),MATCH(F33,tblRound16[#Headers],0)),"")</f>
        <v/>
      </c>
      <c r="G34" s="141" t="str">
        <f ca="1">INDEX(tblRound16[],MATCH(A34,tblRound16[Euro_Match_Number],0),MATCH(G33,tblRound16[#Headers],0))</f>
        <v>Runner-Up Group B</v>
      </c>
      <c r="H34" s="141" t="str">
        <f ca="1">IF(B34,""&amp;INDEX(tblRound16[],MATCH($A34,tblRound16[Euro_Match_Number],0),MATCH(H33,tblRound16[#Headers],0)),"")</f>
        <v/>
      </c>
      <c r="I34" s="141" t="str">
        <f ca="1">IF(B34,""&amp;INDEX(tblRound16[],MATCH($A34,tblRound16[Euro_Match_Number],0),MATCH(I33,tblRound16[#Headers],0)),"")</f>
        <v/>
      </c>
      <c r="J34" s="141" t="str">
        <f ca="1">IF(B34,""&amp;INDEX(tblRound16[],MATCH($A34,tblRound16[Euro_Match_Number],0),MATCH(J33,tblRound16[#Headers],0)),"")</f>
        <v/>
      </c>
      <c r="K34" s="141" t="str">
        <f>INDEX(tblRound16[],MATCH(A34,tblRound16[Euro_Match_Number],0),MATCH(K33,tblRound16[#Headers],0))</f>
        <v>Fri 26 Feb 17:00</v>
      </c>
      <c r="L34" s="142" t="str">
        <f>INDEX(tblRound16[],MATCH(A34,tblRound16[Euro_Match_Number],0),MATCH(L33,tblRound16[#Headers],0))</f>
        <v>Johan Cruyff Arena (NET)</v>
      </c>
      <c r="N34" s="143" t="str">
        <f ca="1">C34</f>
        <v>Runner-Up Group A</v>
      </c>
      <c r="O34" s="143" t="str">
        <f ca="1">IF(LEN(R34)&gt;0,R34&amp;" AET",IF(LEN(Q34)&gt;0,Q34,""))</f>
        <v/>
      </c>
      <c r="P34" s="143" t="str">
        <f ca="1">IF(LEN(F34)&gt;0,"("&amp;F34&amp;")","")</f>
        <v/>
      </c>
      <c r="Q34" s="143" t="str">
        <f ca="1">D34</f>
        <v/>
      </c>
      <c r="R34" s="143" t="str">
        <f ca="1">E34</f>
        <v/>
      </c>
      <c r="S34" s="144" t="e">
        <f ca="1">AND(B34,SUM(VALUE(D34),IF(E34&lt;&gt;"",VALUE(E34),0),IF(F34&lt;&gt;"",VALUE(F34),0))&gt;SUM(VALUE(H34),IF(I34&lt;&gt;"",VALUE(I34),0),IF(J34&lt;&gt;"",VALUE(J34),0)))</f>
        <v>#VALUE!</v>
      </c>
      <c r="CC34" s="57"/>
      <c r="CD34" s="78" t="str">
        <f t="array" aca="1" ref="CD34:CF35" ca="1">N34:P35</f>
        <v>Runner-Up Group A</v>
      </c>
      <c r="CE34" s="79" t="str">
        <f ca="1"/>
        <v/>
      </c>
      <c r="CF34" s="80" t="str">
        <f ca="1"/>
        <v/>
      </c>
      <c r="CG34" s="57"/>
      <c r="CI34" s="57"/>
      <c r="CJ34" s="57"/>
      <c r="CK34" s="56"/>
      <c r="CL34" s="57"/>
      <c r="CM34" s="57"/>
    </row>
    <row r="35" spans="1:91" s="125" customFormat="1" ht="17.25" customHeight="1" x14ac:dyDescent="0.25">
      <c r="N35" s="145" t="str">
        <f ca="1">G34</f>
        <v>Runner-Up Group B</v>
      </c>
      <c r="O35" s="145" t="str">
        <f ca="1">IF(LEN(R35)&gt;0,R35&amp;" AET",IF(LEN(Q35)&gt;0,Q35,""))</f>
        <v/>
      </c>
      <c r="P35" s="145" t="str">
        <f ca="1">IF(LEN(J34)&gt;0,"("&amp;J34&amp;")","")</f>
        <v/>
      </c>
      <c r="Q35" s="145" t="str">
        <f ca="1">H34</f>
        <v/>
      </c>
      <c r="R35" s="145" t="str">
        <f ca="1">I34</f>
        <v/>
      </c>
      <c r="S35" s="144" t="e">
        <f ca="1">AND(B34,SUM(VALUE(D34),IF(E34&lt;&gt;"",VALUE(E34),0),IF(F34&lt;&gt;"",VALUE(F34),0))&lt;SUM(VALUE(H34),IF(I34&lt;&gt;"",VALUE(I34),0),IF(J34&lt;&gt;"",VALUE(J34),0)))</f>
        <v>#VALUE!</v>
      </c>
      <c r="CC35" s="57"/>
      <c r="CD35" s="81" t="str">
        <f ca="1"/>
        <v>Runner-Up Group B</v>
      </c>
      <c r="CE35" s="82" t="str">
        <f ca="1"/>
        <v/>
      </c>
      <c r="CF35" s="83" t="str">
        <f ca="1"/>
        <v/>
      </c>
      <c r="CG35" s="57"/>
      <c r="CK35" s="88"/>
    </row>
    <row r="36" spans="1:91" s="125" customFormat="1" x14ac:dyDescent="0.3">
      <c r="CC36" s="57"/>
      <c r="CD36" s="130"/>
      <c r="CE36" s="131"/>
      <c r="CF36" s="130"/>
      <c r="CG36" s="57"/>
      <c r="CK36" s="88"/>
    </row>
    <row r="37" spans="1:91" s="125" customFormat="1" x14ac:dyDescent="0.3">
      <c r="CD37" s="126"/>
      <c r="CE37" s="127"/>
      <c r="CF37" s="126"/>
      <c r="CK37" s="88"/>
    </row>
    <row r="38" spans="1:91" s="125" customFormat="1" x14ac:dyDescent="0.3">
      <c r="CD38" s="126"/>
      <c r="CE38" s="127"/>
      <c r="CF38" s="126"/>
      <c r="CK38" s="88"/>
    </row>
    <row r="39" spans="1:91" s="125" customFormat="1" x14ac:dyDescent="0.3">
      <c r="CD39" s="126"/>
      <c r="CE39" s="127"/>
      <c r="CF39" s="126"/>
      <c r="CK39" s="88"/>
    </row>
    <row r="40" spans="1:91" s="125" customFormat="1" x14ac:dyDescent="0.3">
      <c r="CD40" s="126"/>
      <c r="CE40" s="127"/>
      <c r="CF40" s="126"/>
      <c r="CK40" s="88"/>
    </row>
    <row r="41" spans="1:91" s="125" customFormat="1" x14ac:dyDescent="0.3">
      <c r="CD41" s="126"/>
      <c r="CE41" s="127"/>
      <c r="CF41" s="126"/>
      <c r="CK41" s="88"/>
    </row>
    <row r="42" spans="1:91" s="125" customFormat="1" x14ac:dyDescent="0.3">
      <c r="CD42" s="126"/>
      <c r="CE42" s="127"/>
      <c r="CF42" s="126"/>
      <c r="CK42" s="88"/>
    </row>
    <row r="43" spans="1:91" s="125" customFormat="1" x14ac:dyDescent="0.3">
      <c r="CD43" s="126"/>
      <c r="CE43" s="127"/>
      <c r="CF43" s="126"/>
      <c r="CK43" s="88"/>
    </row>
    <row r="44" spans="1:91" s="125" customFormat="1" x14ac:dyDescent="0.3">
      <c r="CD44" s="126"/>
      <c r="CE44" s="127"/>
      <c r="CF44" s="126"/>
      <c r="CK44" s="88"/>
    </row>
    <row r="45" spans="1:91" s="125" customFormat="1" x14ac:dyDescent="0.3">
      <c r="CD45" s="126"/>
      <c r="CE45" s="127"/>
      <c r="CF45" s="126"/>
      <c r="CK45" s="88"/>
    </row>
    <row r="46" spans="1:91" s="125" customFormat="1" x14ac:dyDescent="0.3">
      <c r="CD46" s="126"/>
      <c r="CE46" s="127"/>
      <c r="CF46" s="126"/>
      <c r="CK46" s="88"/>
    </row>
    <row r="47" spans="1:91" s="125" customFormat="1" x14ac:dyDescent="0.3">
      <c r="CD47" s="126"/>
      <c r="CE47" s="127"/>
      <c r="CF47" s="126"/>
      <c r="CK47" s="88"/>
    </row>
    <row r="48" spans="1:91" s="125" customFormat="1" x14ac:dyDescent="0.3">
      <c r="CD48" s="126"/>
      <c r="CE48" s="127"/>
      <c r="CF48" s="126"/>
      <c r="CK48" s="88"/>
    </row>
    <row r="49" spans="80:169" s="125" customFormat="1" x14ac:dyDescent="0.3">
      <c r="CD49" s="126"/>
      <c r="CE49" s="127"/>
      <c r="CF49" s="126"/>
      <c r="CK49" s="88"/>
    </row>
    <row r="50" spans="80:169" x14ac:dyDescent="0.3">
      <c r="CB50" s="125"/>
      <c r="CC50" s="125"/>
      <c r="CD50" s="126"/>
      <c r="CE50" s="127"/>
      <c r="CF50" s="126"/>
      <c r="CG50" s="125"/>
      <c r="CH50" s="125"/>
      <c r="CI50" s="125"/>
      <c r="CJ50" s="125"/>
      <c r="CK50" s="88"/>
      <c r="CL50" s="125"/>
      <c r="CM50" s="125"/>
      <c r="CN50" s="125"/>
      <c r="CO50" s="125"/>
      <c r="CP50" s="125"/>
      <c r="CQ50" s="125"/>
      <c r="CR50" s="125"/>
      <c r="CS50" s="125"/>
      <c r="CT50" s="125"/>
      <c r="CU50" s="125"/>
      <c r="CV50" s="125"/>
      <c r="CW50" s="125"/>
      <c r="CX50" s="125"/>
      <c r="CY50" s="125"/>
      <c r="CZ50" s="125"/>
      <c r="DA50" s="125"/>
      <c r="DB50" s="125"/>
      <c r="DC50" s="125"/>
      <c r="DD50" s="125"/>
      <c r="DE50" s="125"/>
      <c r="DF50" s="125"/>
      <c r="DG50" s="125"/>
      <c r="DH50" s="125"/>
      <c r="DI50" s="125"/>
      <c r="DJ50" s="125"/>
      <c r="DK50" s="125"/>
      <c r="DL50" s="125"/>
      <c r="DM50" s="125"/>
      <c r="DN50" s="125"/>
      <c r="DO50" s="125"/>
      <c r="DP50" s="125"/>
      <c r="DQ50" s="125"/>
      <c r="DR50" s="125"/>
      <c r="DS50" s="125"/>
      <c r="DT50" s="125"/>
      <c r="DU50" s="125"/>
      <c r="DV50" s="125"/>
      <c r="DW50" s="125"/>
      <c r="DX50" s="125"/>
      <c r="DY50" s="125"/>
      <c r="DZ50" s="125"/>
      <c r="EA50" s="125"/>
      <c r="EB50" s="125"/>
      <c r="EC50" s="125"/>
      <c r="ED50" s="125"/>
      <c r="EE50" s="125"/>
      <c r="EF50" s="125"/>
      <c r="EG50" s="125"/>
      <c r="EH50" s="125"/>
      <c r="EI50" s="125"/>
      <c r="EJ50" s="125"/>
      <c r="EK50" s="125"/>
      <c r="EL50" s="125"/>
      <c r="EM50" s="125"/>
      <c r="EN50" s="125"/>
      <c r="EO50" s="125"/>
      <c r="EP50" s="125"/>
      <c r="EQ50" s="125"/>
      <c r="ER50" s="125"/>
      <c r="ES50" s="125"/>
      <c r="ET50" s="125"/>
      <c r="EU50" s="125"/>
      <c r="EV50" s="125"/>
      <c r="EW50" s="125"/>
      <c r="EX50" s="125"/>
      <c r="EY50" s="125"/>
      <c r="EZ50" s="125"/>
      <c r="FA50" s="125"/>
      <c r="FB50" s="125"/>
      <c r="FC50" s="125"/>
      <c r="FD50" s="125"/>
      <c r="FE50" s="125"/>
      <c r="FF50" s="125"/>
      <c r="FG50" s="125"/>
      <c r="FH50" s="125"/>
      <c r="FI50" s="125"/>
      <c r="FJ50" s="125"/>
      <c r="FK50" s="125"/>
      <c r="FL50" s="125"/>
      <c r="FM50" s="125"/>
    </row>
    <row r="51" spans="80:169" x14ac:dyDescent="0.3">
      <c r="CB51" s="125"/>
      <c r="CC51" s="125"/>
      <c r="CD51" s="126"/>
      <c r="CE51" s="127"/>
      <c r="CF51" s="126"/>
      <c r="CG51" s="125"/>
      <c r="CH51" s="125"/>
      <c r="CI51" s="125"/>
      <c r="CJ51" s="125"/>
      <c r="CK51" s="88"/>
      <c r="CL51" s="125"/>
      <c r="CM51" s="125"/>
      <c r="CN51" s="125"/>
      <c r="CO51" s="125"/>
      <c r="CP51" s="125"/>
      <c r="CQ51" s="125"/>
      <c r="CR51" s="125"/>
      <c r="CS51" s="125"/>
      <c r="CT51" s="125"/>
      <c r="CU51" s="125"/>
      <c r="CV51" s="125"/>
      <c r="CW51" s="125"/>
      <c r="CX51" s="125"/>
      <c r="CY51" s="125"/>
      <c r="CZ51" s="125"/>
      <c r="DA51" s="125"/>
      <c r="DB51" s="125"/>
      <c r="DC51" s="125"/>
      <c r="DD51" s="125"/>
      <c r="DE51" s="125"/>
      <c r="DF51" s="125"/>
      <c r="DG51" s="125"/>
      <c r="DH51" s="125"/>
      <c r="DI51" s="125"/>
      <c r="DJ51" s="125"/>
      <c r="DK51" s="125"/>
      <c r="DL51" s="125"/>
      <c r="DM51" s="125"/>
      <c r="DN51" s="125"/>
      <c r="DO51" s="125"/>
      <c r="DP51" s="125"/>
      <c r="DQ51" s="125"/>
      <c r="DR51" s="125"/>
      <c r="DS51" s="125"/>
      <c r="DT51" s="125"/>
      <c r="DU51" s="125"/>
      <c r="DV51" s="125"/>
      <c r="DW51" s="125"/>
      <c r="DX51" s="125"/>
      <c r="DY51" s="125"/>
      <c r="DZ51" s="125"/>
      <c r="EA51" s="125"/>
      <c r="EB51" s="125"/>
      <c r="EC51" s="125"/>
      <c r="ED51" s="125"/>
      <c r="EE51" s="125"/>
      <c r="EF51" s="125"/>
      <c r="EG51" s="125"/>
      <c r="EH51" s="125"/>
      <c r="EI51" s="125"/>
      <c r="EJ51" s="125"/>
      <c r="EK51" s="125"/>
      <c r="EL51" s="125"/>
      <c r="EM51" s="125"/>
      <c r="EN51" s="125"/>
      <c r="EO51" s="125"/>
      <c r="EP51" s="125"/>
      <c r="EQ51" s="125"/>
      <c r="ER51" s="125"/>
      <c r="ES51" s="125"/>
      <c r="ET51" s="125"/>
      <c r="EU51" s="125"/>
      <c r="EV51" s="125"/>
      <c r="EW51" s="125"/>
      <c r="EX51" s="125"/>
      <c r="EY51" s="125"/>
      <c r="EZ51" s="125"/>
      <c r="FA51" s="125"/>
      <c r="FB51" s="125"/>
      <c r="FC51" s="125"/>
      <c r="FD51" s="125"/>
      <c r="FE51" s="125"/>
      <c r="FF51" s="125"/>
      <c r="FG51" s="125"/>
      <c r="FH51" s="125"/>
      <c r="FI51" s="125"/>
      <c r="FJ51" s="125"/>
      <c r="FK51" s="125"/>
      <c r="FL51" s="125"/>
      <c r="FM51" s="125"/>
    </row>
    <row r="52" spans="80:169" x14ac:dyDescent="0.3">
      <c r="CB52" s="125"/>
      <c r="CC52" s="125"/>
      <c r="CD52" s="126"/>
      <c r="CE52" s="127"/>
      <c r="CF52" s="126"/>
      <c r="CG52" s="125"/>
      <c r="CH52" s="125"/>
      <c r="CI52" s="125"/>
      <c r="CJ52" s="125"/>
      <c r="CK52" s="88"/>
      <c r="CL52" s="125"/>
      <c r="CM52" s="125"/>
      <c r="CN52" s="125"/>
      <c r="CO52" s="125"/>
      <c r="CP52" s="125"/>
      <c r="CQ52" s="125"/>
      <c r="CR52" s="125"/>
      <c r="CS52" s="125"/>
      <c r="CT52" s="125"/>
      <c r="CU52" s="125"/>
      <c r="CV52" s="125"/>
      <c r="CW52" s="125"/>
      <c r="CX52" s="125"/>
      <c r="CY52" s="125"/>
      <c r="CZ52" s="125"/>
      <c r="DA52" s="125"/>
      <c r="DB52" s="125"/>
      <c r="DC52" s="125"/>
      <c r="DD52" s="125"/>
      <c r="DE52" s="125"/>
      <c r="DF52" s="125"/>
      <c r="DG52" s="125"/>
      <c r="DH52" s="125"/>
      <c r="DI52" s="125"/>
      <c r="DJ52" s="125"/>
      <c r="DK52" s="125"/>
      <c r="DL52" s="125"/>
      <c r="DM52" s="125"/>
      <c r="DN52" s="125"/>
      <c r="DO52" s="125"/>
      <c r="DP52" s="125"/>
      <c r="DQ52" s="125"/>
      <c r="DR52" s="125"/>
      <c r="DS52" s="125"/>
      <c r="DT52" s="125"/>
      <c r="DU52" s="125"/>
      <c r="DV52" s="125"/>
      <c r="DW52" s="125"/>
      <c r="DX52" s="125"/>
      <c r="DY52" s="125"/>
      <c r="DZ52" s="125"/>
      <c r="EA52" s="125"/>
      <c r="EB52" s="125"/>
      <c r="EC52" s="125"/>
      <c r="ED52" s="125"/>
      <c r="EE52" s="125"/>
      <c r="EF52" s="125"/>
      <c r="EG52" s="125"/>
      <c r="EH52" s="125"/>
      <c r="EI52" s="125"/>
      <c r="EJ52" s="125"/>
      <c r="EK52" s="125"/>
      <c r="EL52" s="125"/>
      <c r="EM52" s="125"/>
      <c r="EN52" s="125"/>
      <c r="EO52" s="125"/>
      <c r="EP52" s="125"/>
      <c r="EQ52" s="125"/>
      <c r="ER52" s="125"/>
      <c r="ES52" s="125"/>
      <c r="ET52" s="125"/>
      <c r="EU52" s="125"/>
      <c r="EV52" s="125"/>
      <c r="EW52" s="125"/>
      <c r="EX52" s="125"/>
      <c r="EY52" s="125"/>
      <c r="EZ52" s="125"/>
      <c r="FA52" s="125"/>
      <c r="FB52" s="125"/>
      <c r="FC52" s="125"/>
      <c r="FD52" s="125"/>
      <c r="FE52" s="125"/>
      <c r="FF52" s="125"/>
      <c r="FG52" s="125"/>
      <c r="FH52" s="125"/>
      <c r="FI52" s="125"/>
      <c r="FJ52" s="125"/>
      <c r="FK52" s="125"/>
      <c r="FL52" s="125"/>
      <c r="FM52" s="125"/>
    </row>
    <row r="53" spans="80:169" x14ac:dyDescent="0.3">
      <c r="CB53" s="125"/>
      <c r="CC53" s="125"/>
      <c r="CD53" s="126"/>
      <c r="CE53" s="127"/>
      <c r="CF53" s="126"/>
      <c r="CG53" s="125"/>
      <c r="CH53" s="125"/>
      <c r="CI53" s="125"/>
      <c r="CJ53" s="125"/>
      <c r="CK53" s="88"/>
      <c r="CL53" s="125"/>
      <c r="CM53" s="125"/>
      <c r="CN53" s="125"/>
      <c r="CO53" s="125"/>
      <c r="CP53" s="125"/>
      <c r="CQ53" s="125"/>
      <c r="CR53" s="125"/>
      <c r="CS53" s="125"/>
      <c r="CT53" s="125"/>
      <c r="CU53" s="125"/>
      <c r="CV53" s="125"/>
      <c r="CW53" s="125"/>
      <c r="CX53" s="125"/>
      <c r="CY53" s="125"/>
      <c r="CZ53" s="125"/>
      <c r="DA53" s="125"/>
      <c r="DB53" s="125"/>
      <c r="DC53" s="125"/>
      <c r="DD53" s="125"/>
      <c r="DE53" s="125"/>
      <c r="DF53" s="125"/>
      <c r="DG53" s="125"/>
      <c r="DH53" s="125"/>
      <c r="DI53" s="125"/>
      <c r="DJ53" s="125"/>
      <c r="DK53" s="125"/>
      <c r="DL53" s="125"/>
      <c r="DM53" s="125"/>
      <c r="DN53" s="125"/>
      <c r="DO53" s="125"/>
      <c r="DP53" s="125"/>
      <c r="DQ53" s="125"/>
      <c r="DR53" s="125"/>
      <c r="DS53" s="125"/>
      <c r="DT53" s="125"/>
      <c r="DU53" s="125"/>
      <c r="DV53" s="125"/>
      <c r="DW53" s="125"/>
      <c r="DX53" s="125"/>
      <c r="DY53" s="125"/>
      <c r="DZ53" s="125"/>
      <c r="EA53" s="125"/>
      <c r="EB53" s="125"/>
      <c r="EC53" s="125"/>
      <c r="ED53" s="125"/>
      <c r="EE53" s="125"/>
      <c r="EF53" s="125"/>
      <c r="EG53" s="125"/>
      <c r="EH53" s="125"/>
      <c r="EI53" s="125"/>
      <c r="EJ53" s="125"/>
      <c r="EK53" s="125"/>
      <c r="EL53" s="125"/>
      <c r="EM53" s="125"/>
      <c r="EN53" s="125"/>
      <c r="EO53" s="125"/>
      <c r="EP53" s="125"/>
      <c r="EQ53" s="125"/>
      <c r="ER53" s="125"/>
      <c r="ES53" s="125"/>
      <c r="ET53" s="125"/>
      <c r="EU53" s="125"/>
      <c r="EV53" s="125"/>
      <c r="EW53" s="125"/>
      <c r="EX53" s="125"/>
      <c r="EY53" s="125"/>
      <c r="EZ53" s="125"/>
      <c r="FA53" s="125"/>
      <c r="FB53" s="125"/>
      <c r="FC53" s="125"/>
      <c r="FD53" s="125"/>
      <c r="FE53" s="125"/>
      <c r="FF53" s="125"/>
      <c r="FG53" s="125"/>
      <c r="FH53" s="125"/>
      <c r="FI53" s="125"/>
      <c r="FJ53" s="125"/>
      <c r="FK53" s="125"/>
      <c r="FL53" s="125"/>
      <c r="FM53" s="125"/>
    </row>
    <row r="54" spans="80:169" x14ac:dyDescent="0.3">
      <c r="CB54" s="125"/>
      <c r="CC54" s="125"/>
      <c r="CD54" s="126"/>
      <c r="CE54" s="127"/>
      <c r="CF54" s="126"/>
      <c r="CG54" s="125"/>
      <c r="CH54" s="125"/>
      <c r="CI54" s="125"/>
      <c r="CJ54" s="125"/>
      <c r="CK54" s="88"/>
      <c r="CL54" s="125"/>
      <c r="CM54" s="125"/>
      <c r="CN54" s="125"/>
      <c r="CO54" s="125"/>
      <c r="CP54" s="125"/>
      <c r="CQ54" s="125"/>
      <c r="CR54" s="125"/>
      <c r="CS54" s="125"/>
      <c r="CT54" s="125"/>
      <c r="CU54" s="125"/>
      <c r="CV54" s="125"/>
      <c r="CW54" s="125"/>
      <c r="CX54" s="125"/>
      <c r="CY54" s="125"/>
      <c r="CZ54" s="125"/>
      <c r="DA54" s="125"/>
      <c r="DB54" s="125"/>
      <c r="DC54" s="125"/>
      <c r="DD54" s="125"/>
      <c r="DE54" s="125"/>
      <c r="DF54" s="125"/>
      <c r="DG54" s="125"/>
      <c r="DH54" s="125"/>
      <c r="DI54" s="125"/>
      <c r="DJ54" s="125"/>
      <c r="DK54" s="125"/>
      <c r="DL54" s="125"/>
      <c r="DM54" s="125"/>
      <c r="DN54" s="125"/>
      <c r="DO54" s="125"/>
      <c r="DP54" s="125"/>
      <c r="DQ54" s="125"/>
      <c r="DR54" s="125"/>
      <c r="DS54" s="125"/>
      <c r="DT54" s="125"/>
      <c r="DU54" s="125"/>
      <c r="DV54" s="125"/>
      <c r="DW54" s="125"/>
      <c r="DX54" s="125"/>
      <c r="DY54" s="125"/>
      <c r="DZ54" s="125"/>
      <c r="EA54" s="125"/>
      <c r="EB54" s="125"/>
      <c r="EC54" s="125"/>
      <c r="ED54" s="125"/>
      <c r="EE54" s="125"/>
      <c r="EF54" s="125"/>
      <c r="EG54" s="125"/>
      <c r="EH54" s="125"/>
      <c r="EI54" s="125"/>
      <c r="EJ54" s="125"/>
      <c r="EK54" s="125"/>
      <c r="EL54" s="125"/>
      <c r="EM54" s="125"/>
      <c r="EN54" s="125"/>
      <c r="EO54" s="125"/>
      <c r="EP54" s="125"/>
      <c r="EQ54" s="125"/>
      <c r="ER54" s="125"/>
      <c r="ES54" s="125"/>
      <c r="ET54" s="125"/>
      <c r="EU54" s="125"/>
      <c r="EV54" s="125"/>
      <c r="EW54" s="125"/>
      <c r="EX54" s="125"/>
      <c r="EY54" s="125"/>
      <c r="EZ54" s="125"/>
      <c r="FA54" s="125"/>
      <c r="FB54" s="125"/>
      <c r="FC54" s="125"/>
      <c r="FD54" s="125"/>
      <c r="FE54" s="125"/>
      <c r="FF54" s="125"/>
      <c r="FG54" s="125"/>
      <c r="FH54" s="125"/>
      <c r="FI54" s="125"/>
      <c r="FJ54" s="125"/>
      <c r="FK54" s="125"/>
      <c r="FL54" s="125"/>
      <c r="FM54" s="125"/>
    </row>
    <row r="55" spans="80:169" x14ac:dyDescent="0.3">
      <c r="CB55" s="125"/>
      <c r="CC55" s="125"/>
      <c r="CD55" s="126"/>
      <c r="CE55" s="127"/>
      <c r="CF55" s="126"/>
      <c r="CG55" s="125"/>
      <c r="CH55" s="125"/>
      <c r="CI55" s="125"/>
      <c r="CJ55" s="125"/>
      <c r="CK55" s="88"/>
      <c r="CL55" s="125"/>
      <c r="CM55" s="125"/>
      <c r="CN55" s="125"/>
      <c r="CO55" s="125"/>
      <c r="CP55" s="125"/>
      <c r="CQ55" s="125"/>
      <c r="CR55" s="125"/>
      <c r="CS55" s="125"/>
      <c r="CT55" s="125"/>
      <c r="CU55" s="125"/>
      <c r="CV55" s="125"/>
      <c r="CW55" s="125"/>
      <c r="CX55" s="125"/>
      <c r="CY55" s="125"/>
      <c r="CZ55" s="125"/>
      <c r="DA55" s="125"/>
      <c r="DB55" s="125"/>
      <c r="DC55" s="125"/>
      <c r="DD55" s="125"/>
      <c r="DE55" s="125"/>
      <c r="DF55" s="125"/>
      <c r="DG55" s="125"/>
      <c r="DH55" s="125"/>
      <c r="DI55" s="125"/>
      <c r="DJ55" s="125"/>
      <c r="DK55" s="125"/>
      <c r="DL55" s="125"/>
      <c r="DM55" s="125"/>
      <c r="DN55" s="125"/>
      <c r="DO55" s="125"/>
      <c r="DP55" s="125"/>
      <c r="DQ55" s="125"/>
      <c r="DR55" s="125"/>
      <c r="DS55" s="125"/>
      <c r="DT55" s="125"/>
      <c r="DU55" s="125"/>
      <c r="DV55" s="125"/>
      <c r="DW55" s="125"/>
      <c r="DX55" s="125"/>
      <c r="DY55" s="125"/>
      <c r="DZ55" s="125"/>
      <c r="EA55" s="125"/>
      <c r="EB55" s="125"/>
      <c r="EC55" s="125"/>
      <c r="ED55" s="125"/>
      <c r="EE55" s="125"/>
      <c r="EF55" s="125"/>
      <c r="EG55" s="125"/>
      <c r="EH55" s="125"/>
      <c r="EI55" s="125"/>
      <c r="EJ55" s="125"/>
      <c r="EK55" s="125"/>
      <c r="EL55" s="125"/>
      <c r="EM55" s="125"/>
      <c r="EN55" s="125"/>
      <c r="EO55" s="125"/>
      <c r="EP55" s="125"/>
      <c r="EQ55" s="125"/>
      <c r="ER55" s="125"/>
      <c r="ES55" s="125"/>
      <c r="ET55" s="125"/>
      <c r="EU55" s="125"/>
      <c r="EV55" s="125"/>
      <c r="EW55" s="125"/>
      <c r="EX55" s="125"/>
      <c r="EY55" s="125"/>
      <c r="EZ55" s="125"/>
      <c r="FA55" s="125"/>
      <c r="FB55" s="125"/>
      <c r="FC55" s="125"/>
      <c r="FD55" s="125"/>
      <c r="FE55" s="125"/>
      <c r="FF55" s="125"/>
      <c r="FG55" s="125"/>
      <c r="FH55" s="125"/>
      <c r="FI55" s="125"/>
      <c r="FJ55" s="125"/>
      <c r="FK55" s="125"/>
      <c r="FL55" s="125"/>
      <c r="FM55" s="125"/>
    </row>
    <row r="56" spans="80:169" x14ac:dyDescent="0.3">
      <c r="CB56" s="125"/>
      <c r="CC56" s="125"/>
      <c r="CD56" s="126"/>
      <c r="CE56" s="127"/>
      <c r="CF56" s="126"/>
      <c r="CG56" s="125"/>
      <c r="CH56" s="125"/>
      <c r="CI56" s="125"/>
      <c r="CJ56" s="125"/>
      <c r="CK56" s="88"/>
      <c r="CL56" s="125"/>
      <c r="CM56" s="125"/>
      <c r="CN56" s="125"/>
      <c r="CO56" s="125"/>
      <c r="CP56" s="125"/>
      <c r="CQ56" s="125"/>
      <c r="CR56" s="125"/>
      <c r="CS56" s="125"/>
      <c r="CT56" s="125"/>
      <c r="CU56" s="125"/>
      <c r="CV56" s="125"/>
      <c r="CW56" s="125"/>
      <c r="CX56" s="125"/>
      <c r="CY56" s="125"/>
      <c r="CZ56" s="125"/>
      <c r="DA56" s="125"/>
      <c r="DB56" s="125"/>
      <c r="DC56" s="125"/>
      <c r="DD56" s="125"/>
      <c r="DE56" s="125"/>
      <c r="DF56" s="125"/>
      <c r="DG56" s="125"/>
      <c r="DH56" s="125"/>
      <c r="DI56" s="125"/>
      <c r="DJ56" s="125"/>
      <c r="DK56" s="125"/>
      <c r="DL56" s="125"/>
      <c r="DM56" s="125"/>
      <c r="DN56" s="125"/>
      <c r="DO56" s="125"/>
      <c r="DP56" s="125"/>
      <c r="DQ56" s="125"/>
      <c r="DR56" s="125"/>
      <c r="DS56" s="125"/>
      <c r="DT56" s="125"/>
      <c r="DU56" s="125"/>
      <c r="DV56" s="125"/>
      <c r="DW56" s="125"/>
      <c r="DX56" s="125"/>
      <c r="DY56" s="125"/>
      <c r="DZ56" s="125"/>
      <c r="EA56" s="125"/>
      <c r="EB56" s="125"/>
      <c r="EC56" s="125"/>
      <c r="ED56" s="125"/>
      <c r="EE56" s="125"/>
      <c r="EF56" s="125"/>
      <c r="EG56" s="125"/>
      <c r="EH56" s="125"/>
      <c r="EI56" s="125"/>
      <c r="EJ56" s="125"/>
      <c r="EK56" s="125"/>
      <c r="EL56" s="125"/>
      <c r="EM56" s="125"/>
      <c r="EN56" s="125"/>
      <c r="EO56" s="125"/>
      <c r="EP56" s="125"/>
      <c r="EQ56" s="125"/>
      <c r="ER56" s="125"/>
      <c r="ES56" s="125"/>
      <c r="ET56" s="125"/>
      <c r="EU56" s="125"/>
      <c r="EV56" s="125"/>
      <c r="EW56" s="125"/>
      <c r="EX56" s="125"/>
      <c r="EY56" s="125"/>
      <c r="EZ56" s="125"/>
      <c r="FA56" s="125"/>
      <c r="FB56" s="125"/>
      <c r="FC56" s="125"/>
      <c r="FD56" s="125"/>
      <c r="FE56" s="125"/>
      <c r="FF56" s="125"/>
      <c r="FG56" s="125"/>
      <c r="FH56" s="125"/>
      <c r="FI56" s="125"/>
      <c r="FJ56" s="125"/>
      <c r="FK56" s="125"/>
      <c r="FL56" s="125"/>
      <c r="FM56" s="125"/>
    </row>
    <row r="57" spans="80:169" x14ac:dyDescent="0.3">
      <c r="CB57" s="125"/>
      <c r="CC57" s="125"/>
      <c r="CD57" s="126"/>
      <c r="CE57" s="127"/>
      <c r="CF57" s="126"/>
      <c r="CG57" s="125"/>
      <c r="CH57" s="125"/>
      <c r="CI57" s="125"/>
      <c r="CJ57" s="125"/>
      <c r="CK57" s="88"/>
      <c r="CL57" s="125"/>
      <c r="CM57" s="125"/>
      <c r="CN57" s="125"/>
      <c r="CO57" s="125"/>
      <c r="CP57" s="125"/>
      <c r="CQ57" s="125"/>
      <c r="CR57" s="125"/>
      <c r="CS57" s="125"/>
      <c r="CT57" s="125"/>
      <c r="CU57" s="125"/>
      <c r="CV57" s="125"/>
      <c r="CW57" s="125"/>
      <c r="CX57" s="125"/>
      <c r="CY57" s="125"/>
      <c r="CZ57" s="125"/>
      <c r="DA57" s="125"/>
      <c r="DB57" s="125"/>
      <c r="DC57" s="125"/>
      <c r="DD57" s="125"/>
      <c r="DE57" s="125"/>
      <c r="DF57" s="125"/>
      <c r="DG57" s="125"/>
      <c r="DH57" s="125"/>
      <c r="DI57" s="125"/>
      <c r="DJ57" s="125"/>
      <c r="DK57" s="125"/>
      <c r="DL57" s="125"/>
      <c r="DM57" s="125"/>
      <c r="DN57" s="125"/>
      <c r="DO57" s="125"/>
      <c r="DP57" s="125"/>
      <c r="DQ57" s="125"/>
      <c r="DR57" s="125"/>
      <c r="DS57" s="125"/>
      <c r="DT57" s="125"/>
      <c r="DU57" s="125"/>
      <c r="DV57" s="125"/>
      <c r="DW57" s="125"/>
      <c r="DX57" s="125"/>
      <c r="DY57" s="125"/>
      <c r="DZ57" s="125"/>
      <c r="EA57" s="125"/>
      <c r="EB57" s="125"/>
      <c r="EC57" s="125"/>
      <c r="ED57" s="125"/>
      <c r="EE57" s="125"/>
      <c r="EF57" s="125"/>
      <c r="EG57" s="125"/>
      <c r="EH57" s="125"/>
      <c r="EI57" s="125"/>
      <c r="EJ57" s="125"/>
      <c r="EK57" s="125"/>
      <c r="EL57" s="125"/>
      <c r="EM57" s="125"/>
      <c r="EN57" s="125"/>
      <c r="EO57" s="125"/>
      <c r="EP57" s="125"/>
      <c r="EQ57" s="125"/>
      <c r="ER57" s="125"/>
      <c r="ES57" s="125"/>
      <c r="ET57" s="125"/>
      <c r="EU57" s="125"/>
      <c r="EV57" s="125"/>
      <c r="EW57" s="125"/>
      <c r="EX57" s="125"/>
      <c r="EY57" s="125"/>
      <c r="EZ57" s="125"/>
      <c r="FA57" s="125"/>
      <c r="FB57" s="125"/>
      <c r="FC57" s="125"/>
      <c r="FD57" s="125"/>
      <c r="FE57" s="125"/>
      <c r="FF57" s="125"/>
      <c r="FG57" s="125"/>
      <c r="FH57" s="125"/>
      <c r="FI57" s="125"/>
      <c r="FJ57" s="125"/>
      <c r="FK57" s="125"/>
      <c r="FL57" s="125"/>
      <c r="FM57" s="125"/>
    </row>
    <row r="58" spans="80:169" x14ac:dyDescent="0.3">
      <c r="CB58" s="125"/>
      <c r="CC58" s="125"/>
      <c r="CD58" s="126"/>
      <c r="CE58" s="127"/>
      <c r="CF58" s="126"/>
      <c r="CG58" s="125"/>
      <c r="CH58" s="125"/>
      <c r="CI58" s="125"/>
      <c r="CJ58" s="125"/>
      <c r="CK58" s="88"/>
      <c r="CL58" s="125"/>
      <c r="CM58" s="125"/>
      <c r="CN58" s="125"/>
      <c r="CO58" s="125"/>
      <c r="CP58" s="125"/>
      <c r="CQ58" s="125"/>
      <c r="CR58" s="125"/>
      <c r="CS58" s="125"/>
      <c r="CT58" s="125"/>
      <c r="CU58" s="125"/>
      <c r="CV58" s="125"/>
      <c r="CW58" s="125"/>
      <c r="CX58" s="125"/>
      <c r="CY58" s="125"/>
      <c r="CZ58" s="125"/>
      <c r="DA58" s="125"/>
      <c r="DB58" s="125"/>
      <c r="DC58" s="125"/>
      <c r="DD58" s="125"/>
      <c r="DE58" s="125"/>
      <c r="DF58" s="125"/>
      <c r="DG58" s="125"/>
      <c r="DH58" s="125"/>
      <c r="DI58" s="125"/>
      <c r="DJ58" s="125"/>
      <c r="DK58" s="125"/>
      <c r="DL58" s="125"/>
      <c r="DM58" s="125"/>
      <c r="DN58" s="125"/>
      <c r="DO58" s="125"/>
      <c r="DP58" s="125"/>
      <c r="DQ58" s="125"/>
      <c r="DR58" s="125"/>
      <c r="DS58" s="125"/>
      <c r="DT58" s="125"/>
      <c r="DU58" s="125"/>
      <c r="DV58" s="125"/>
      <c r="DW58" s="125"/>
      <c r="DX58" s="125"/>
      <c r="DY58" s="125"/>
      <c r="DZ58" s="125"/>
      <c r="EA58" s="125"/>
      <c r="EB58" s="125"/>
      <c r="EC58" s="125"/>
      <c r="ED58" s="125"/>
      <c r="EE58" s="125"/>
      <c r="EF58" s="125"/>
      <c r="EG58" s="125"/>
      <c r="EH58" s="125"/>
      <c r="EI58" s="125"/>
      <c r="EJ58" s="125"/>
      <c r="EK58" s="125"/>
      <c r="EL58" s="125"/>
      <c r="EM58" s="125"/>
      <c r="EN58" s="125"/>
      <c r="EO58" s="125"/>
      <c r="EP58" s="125"/>
      <c r="EQ58" s="125"/>
      <c r="ER58" s="125"/>
      <c r="ES58" s="125"/>
      <c r="ET58" s="125"/>
      <c r="EU58" s="125"/>
      <c r="EV58" s="125"/>
      <c r="EW58" s="125"/>
      <c r="EX58" s="125"/>
      <c r="EY58" s="125"/>
      <c r="EZ58" s="125"/>
      <c r="FA58" s="125"/>
      <c r="FB58" s="125"/>
      <c r="FC58" s="125"/>
      <c r="FD58" s="125"/>
      <c r="FE58" s="125"/>
      <c r="FF58" s="125"/>
      <c r="FG58" s="125"/>
      <c r="FH58" s="125"/>
      <c r="FI58" s="125"/>
      <c r="FJ58" s="125"/>
      <c r="FK58" s="125"/>
      <c r="FL58" s="125"/>
      <c r="FM58" s="125"/>
    </row>
    <row r="59" spans="80:169" x14ac:dyDescent="0.3">
      <c r="CB59" s="125"/>
      <c r="CC59" s="125"/>
      <c r="CD59" s="126"/>
      <c r="CE59" s="127"/>
      <c r="CF59" s="126"/>
      <c r="CG59" s="125"/>
      <c r="CH59" s="125"/>
      <c r="CI59" s="125"/>
      <c r="CJ59" s="125"/>
      <c r="CK59" s="88"/>
      <c r="CL59" s="125"/>
      <c r="CM59" s="125"/>
      <c r="CN59" s="125"/>
      <c r="CO59" s="125"/>
      <c r="CP59" s="125"/>
      <c r="CQ59" s="125"/>
      <c r="CR59" s="125"/>
      <c r="CS59" s="125"/>
      <c r="CT59" s="125"/>
      <c r="CU59" s="125"/>
      <c r="CV59" s="125"/>
      <c r="CW59" s="125"/>
      <c r="CX59" s="125"/>
      <c r="CY59" s="125"/>
      <c r="CZ59" s="125"/>
      <c r="DA59" s="125"/>
      <c r="DB59" s="125"/>
      <c r="DC59" s="125"/>
      <c r="DD59" s="125"/>
      <c r="DE59" s="125"/>
      <c r="DF59" s="125"/>
      <c r="DG59" s="125"/>
      <c r="DH59" s="125"/>
      <c r="DI59" s="125"/>
      <c r="DJ59" s="125"/>
      <c r="DK59" s="125"/>
      <c r="DL59" s="125"/>
      <c r="DM59" s="125"/>
      <c r="DN59" s="125"/>
      <c r="DO59" s="125"/>
      <c r="DP59" s="125"/>
      <c r="DQ59" s="125"/>
      <c r="DR59" s="125"/>
      <c r="DS59" s="125"/>
      <c r="DT59" s="125"/>
      <c r="DU59" s="125"/>
      <c r="DV59" s="125"/>
      <c r="DW59" s="125"/>
      <c r="DX59" s="125"/>
      <c r="DY59" s="125"/>
      <c r="DZ59" s="125"/>
      <c r="EA59" s="125"/>
      <c r="EB59" s="125"/>
      <c r="EC59" s="125"/>
      <c r="ED59" s="125"/>
      <c r="EE59" s="125"/>
      <c r="EF59" s="125"/>
      <c r="EG59" s="125"/>
      <c r="EH59" s="125"/>
      <c r="EI59" s="125"/>
      <c r="EJ59" s="125"/>
      <c r="EK59" s="125"/>
      <c r="EL59" s="125"/>
      <c r="EM59" s="125"/>
      <c r="EN59" s="125"/>
      <c r="EO59" s="125"/>
      <c r="EP59" s="125"/>
      <c r="EQ59" s="125"/>
      <c r="ER59" s="125"/>
      <c r="ES59" s="125"/>
      <c r="ET59" s="125"/>
      <c r="EU59" s="125"/>
      <c r="EV59" s="125"/>
      <c r="EW59" s="125"/>
      <c r="EX59" s="125"/>
      <c r="EY59" s="125"/>
      <c r="EZ59" s="125"/>
      <c r="FA59" s="125"/>
      <c r="FB59" s="125"/>
      <c r="FC59" s="125"/>
      <c r="FD59" s="125"/>
      <c r="FE59" s="125"/>
      <c r="FF59" s="125"/>
      <c r="FG59" s="125"/>
      <c r="FH59" s="125"/>
      <c r="FI59" s="125"/>
      <c r="FJ59" s="125"/>
      <c r="FK59" s="125"/>
      <c r="FL59" s="125"/>
      <c r="FM59" s="125"/>
    </row>
    <row r="60" spans="80:169" x14ac:dyDescent="0.3">
      <c r="CB60" s="125"/>
      <c r="CC60" s="125"/>
      <c r="CD60" s="126"/>
      <c r="CE60" s="127"/>
      <c r="CF60" s="126"/>
      <c r="CG60" s="125"/>
      <c r="CH60" s="125"/>
      <c r="CI60" s="125"/>
      <c r="CJ60" s="125"/>
      <c r="CK60" s="88"/>
      <c r="CL60" s="125"/>
      <c r="CM60" s="125"/>
      <c r="CN60" s="125"/>
      <c r="CO60" s="125"/>
      <c r="CP60" s="125"/>
      <c r="CQ60" s="125"/>
      <c r="CR60" s="125"/>
      <c r="CS60" s="125"/>
      <c r="CT60" s="125"/>
      <c r="CU60" s="125"/>
      <c r="CV60" s="125"/>
      <c r="CW60" s="125"/>
      <c r="CX60" s="125"/>
      <c r="CY60" s="125"/>
      <c r="CZ60" s="125"/>
      <c r="DA60" s="125"/>
      <c r="DB60" s="125"/>
      <c r="DC60" s="125"/>
      <c r="DD60" s="125"/>
      <c r="DE60" s="125"/>
      <c r="DF60" s="125"/>
      <c r="DG60" s="125"/>
      <c r="DH60" s="125"/>
      <c r="DI60" s="125"/>
      <c r="DJ60" s="125"/>
      <c r="DK60" s="125"/>
      <c r="DL60" s="125"/>
      <c r="DM60" s="125"/>
      <c r="DN60" s="125"/>
      <c r="DO60" s="125"/>
      <c r="DP60" s="125"/>
      <c r="DQ60" s="125"/>
      <c r="DR60" s="125"/>
      <c r="DS60" s="125"/>
      <c r="DT60" s="125"/>
      <c r="DU60" s="125"/>
      <c r="DV60" s="125"/>
      <c r="DW60" s="125"/>
      <c r="DX60" s="125"/>
      <c r="DY60" s="125"/>
      <c r="DZ60" s="125"/>
      <c r="EA60" s="125"/>
      <c r="EB60" s="125"/>
      <c r="EC60" s="125"/>
      <c r="ED60" s="125"/>
      <c r="EE60" s="125"/>
      <c r="EF60" s="125"/>
      <c r="EG60" s="125"/>
      <c r="EH60" s="125"/>
      <c r="EI60" s="125"/>
      <c r="EJ60" s="125"/>
      <c r="EK60" s="125"/>
      <c r="EL60" s="125"/>
      <c r="EM60" s="125"/>
      <c r="EN60" s="125"/>
      <c r="EO60" s="125"/>
      <c r="EP60" s="125"/>
      <c r="EQ60" s="125"/>
      <c r="ER60" s="125"/>
      <c r="ES60" s="125"/>
      <c r="ET60" s="125"/>
      <c r="EU60" s="125"/>
      <c r="EV60" s="125"/>
      <c r="EW60" s="125"/>
      <c r="EX60" s="125"/>
      <c r="EY60" s="125"/>
      <c r="EZ60" s="125"/>
      <c r="FA60" s="125"/>
      <c r="FB60" s="125"/>
      <c r="FC60" s="125"/>
      <c r="FD60" s="125"/>
      <c r="FE60" s="125"/>
      <c r="FF60" s="125"/>
      <c r="FG60" s="125"/>
      <c r="FH60" s="125"/>
      <c r="FI60" s="125"/>
      <c r="FJ60" s="125"/>
      <c r="FK60" s="125"/>
      <c r="FL60" s="125"/>
      <c r="FM60" s="125"/>
    </row>
    <row r="61" spans="80:169" x14ac:dyDescent="0.3">
      <c r="CB61" s="125"/>
      <c r="CC61" s="125"/>
      <c r="CD61" s="126"/>
      <c r="CE61" s="127"/>
      <c r="CF61" s="126"/>
      <c r="CG61" s="125"/>
      <c r="CH61" s="125"/>
      <c r="CI61" s="125"/>
      <c r="CJ61" s="125"/>
      <c r="CK61" s="88"/>
      <c r="CL61" s="125"/>
      <c r="CM61" s="125"/>
      <c r="CN61" s="125"/>
      <c r="CO61" s="125"/>
      <c r="CP61" s="125"/>
      <c r="CQ61" s="125"/>
      <c r="CR61" s="125"/>
      <c r="CS61" s="125"/>
      <c r="CT61" s="125"/>
      <c r="CU61" s="125"/>
      <c r="CV61" s="125"/>
      <c r="CW61" s="125"/>
      <c r="CX61" s="125"/>
      <c r="CY61" s="125"/>
      <c r="CZ61" s="125"/>
      <c r="DA61" s="125"/>
      <c r="DB61" s="125"/>
      <c r="DC61" s="125"/>
      <c r="DD61" s="125"/>
      <c r="DE61" s="125"/>
      <c r="DF61" s="125"/>
      <c r="DG61" s="125"/>
      <c r="DH61" s="125"/>
      <c r="DI61" s="125"/>
      <c r="DJ61" s="125"/>
      <c r="DK61" s="125"/>
      <c r="DL61" s="125"/>
      <c r="DM61" s="125"/>
      <c r="DN61" s="125"/>
      <c r="DO61" s="125"/>
      <c r="DP61" s="125"/>
      <c r="DQ61" s="125"/>
      <c r="DR61" s="125"/>
      <c r="DS61" s="125"/>
      <c r="DT61" s="125"/>
      <c r="DU61" s="125"/>
      <c r="DV61" s="125"/>
      <c r="DW61" s="125"/>
      <c r="DX61" s="125"/>
      <c r="DY61" s="125"/>
      <c r="DZ61" s="125"/>
      <c r="EA61" s="125"/>
      <c r="EB61" s="125"/>
      <c r="EC61" s="125"/>
      <c r="ED61" s="125"/>
      <c r="EE61" s="125"/>
      <c r="EF61" s="125"/>
      <c r="EG61" s="125"/>
      <c r="EH61" s="125"/>
      <c r="EI61" s="125"/>
      <c r="EJ61" s="125"/>
      <c r="EK61" s="125"/>
      <c r="EL61" s="125"/>
      <c r="EM61" s="125"/>
      <c r="EN61" s="125"/>
      <c r="EO61" s="125"/>
      <c r="EP61" s="125"/>
      <c r="EQ61" s="125"/>
      <c r="ER61" s="125"/>
      <c r="ES61" s="125"/>
      <c r="ET61" s="125"/>
      <c r="EU61" s="125"/>
      <c r="EV61" s="125"/>
      <c r="EW61" s="125"/>
      <c r="EX61" s="125"/>
      <c r="EY61" s="125"/>
      <c r="EZ61" s="125"/>
      <c r="FA61" s="125"/>
      <c r="FB61" s="125"/>
      <c r="FC61" s="125"/>
      <c r="FD61" s="125"/>
      <c r="FE61" s="125"/>
      <c r="FF61" s="125"/>
      <c r="FG61" s="125"/>
      <c r="FH61" s="125"/>
      <c r="FI61" s="125"/>
      <c r="FJ61" s="125"/>
      <c r="FK61" s="125"/>
      <c r="FL61" s="125"/>
      <c r="FM61" s="125"/>
    </row>
    <row r="62" spans="80:169" x14ac:dyDescent="0.3">
      <c r="CB62" s="125"/>
      <c r="CC62" s="125"/>
      <c r="CD62" s="126"/>
      <c r="CE62" s="127"/>
      <c r="CF62" s="126"/>
      <c r="CG62" s="125"/>
      <c r="CH62" s="125"/>
      <c r="CI62" s="125"/>
      <c r="CJ62" s="125"/>
      <c r="CK62" s="88"/>
      <c r="CL62" s="125"/>
      <c r="CM62" s="125"/>
      <c r="CN62" s="125"/>
      <c r="CO62" s="125"/>
      <c r="CP62" s="125"/>
      <c r="CQ62" s="125"/>
      <c r="CR62" s="125"/>
      <c r="CS62" s="125"/>
      <c r="CT62" s="125"/>
      <c r="CU62" s="125"/>
      <c r="CV62" s="125"/>
      <c r="CW62" s="125"/>
      <c r="CX62" s="125"/>
      <c r="CY62" s="125"/>
      <c r="CZ62" s="125"/>
      <c r="DA62" s="125"/>
      <c r="DB62" s="125"/>
      <c r="DC62" s="125"/>
      <c r="DD62" s="125"/>
      <c r="DE62" s="125"/>
      <c r="DF62" s="125"/>
      <c r="DG62" s="125"/>
      <c r="DH62" s="125"/>
      <c r="DI62" s="125"/>
      <c r="DJ62" s="125"/>
      <c r="DK62" s="125"/>
      <c r="DL62" s="125"/>
      <c r="DM62" s="125"/>
      <c r="DN62" s="125"/>
      <c r="DO62" s="125"/>
      <c r="DP62" s="125"/>
      <c r="DQ62" s="125"/>
      <c r="DR62" s="125"/>
      <c r="DS62" s="125"/>
      <c r="DT62" s="125"/>
      <c r="DU62" s="125"/>
      <c r="DV62" s="125"/>
      <c r="DW62" s="125"/>
      <c r="DX62" s="125"/>
      <c r="DY62" s="125"/>
      <c r="DZ62" s="125"/>
      <c r="EA62" s="125"/>
      <c r="EB62" s="125"/>
      <c r="EC62" s="125"/>
      <c r="ED62" s="125"/>
      <c r="EE62" s="125"/>
      <c r="EF62" s="125"/>
      <c r="EG62" s="125"/>
      <c r="EH62" s="125"/>
      <c r="EI62" s="125"/>
      <c r="EJ62" s="125"/>
      <c r="EK62" s="125"/>
      <c r="EL62" s="125"/>
      <c r="EM62" s="125"/>
      <c r="EN62" s="125"/>
      <c r="EO62" s="125"/>
      <c r="EP62" s="125"/>
      <c r="EQ62" s="125"/>
      <c r="ER62" s="125"/>
      <c r="ES62" s="125"/>
      <c r="ET62" s="125"/>
      <c r="EU62" s="125"/>
      <c r="EV62" s="125"/>
      <c r="EW62" s="125"/>
      <c r="EX62" s="125"/>
      <c r="EY62" s="125"/>
      <c r="EZ62" s="125"/>
      <c r="FA62" s="125"/>
      <c r="FB62" s="125"/>
      <c r="FC62" s="125"/>
      <c r="FD62" s="125"/>
      <c r="FE62" s="125"/>
      <c r="FF62" s="125"/>
      <c r="FG62" s="125"/>
      <c r="FH62" s="125"/>
      <c r="FI62" s="125"/>
      <c r="FJ62" s="125"/>
      <c r="FK62" s="125"/>
      <c r="FL62" s="125"/>
      <c r="FM62" s="125"/>
    </row>
    <row r="63" spans="80:169" x14ac:dyDescent="0.3">
      <c r="CB63" s="125"/>
      <c r="CC63" s="125"/>
      <c r="CD63" s="126"/>
      <c r="CE63" s="127"/>
      <c r="CF63" s="126"/>
      <c r="CG63" s="125"/>
      <c r="CH63" s="125"/>
      <c r="CI63" s="125"/>
      <c r="CJ63" s="125"/>
      <c r="CK63" s="88"/>
      <c r="CL63" s="125"/>
      <c r="CM63" s="125"/>
      <c r="CN63" s="125"/>
      <c r="CO63" s="125"/>
      <c r="CP63" s="125"/>
      <c r="CQ63" s="125"/>
      <c r="CR63" s="125"/>
      <c r="CS63" s="125"/>
      <c r="CT63" s="125"/>
      <c r="CU63" s="125"/>
      <c r="CV63" s="125"/>
      <c r="CW63" s="125"/>
      <c r="CX63" s="125"/>
      <c r="CY63" s="125"/>
      <c r="CZ63" s="125"/>
      <c r="DA63" s="125"/>
      <c r="DB63" s="125"/>
      <c r="DC63" s="125"/>
      <c r="DD63" s="125"/>
      <c r="DE63" s="125"/>
      <c r="DF63" s="125"/>
      <c r="DG63" s="125"/>
      <c r="DH63" s="125"/>
      <c r="DI63" s="125"/>
      <c r="DJ63" s="125"/>
      <c r="DK63" s="125"/>
      <c r="DL63" s="125"/>
      <c r="DM63" s="125"/>
      <c r="DN63" s="125"/>
      <c r="DO63" s="125"/>
      <c r="DP63" s="125"/>
      <c r="DQ63" s="125"/>
      <c r="DR63" s="125"/>
      <c r="DS63" s="125"/>
      <c r="DT63" s="125"/>
      <c r="DU63" s="125"/>
      <c r="DV63" s="125"/>
      <c r="DW63" s="125"/>
      <c r="DX63" s="125"/>
      <c r="DY63" s="125"/>
      <c r="DZ63" s="125"/>
      <c r="EA63" s="125"/>
      <c r="EB63" s="125"/>
      <c r="EC63" s="125"/>
      <c r="ED63" s="125"/>
      <c r="EE63" s="125"/>
      <c r="EF63" s="125"/>
      <c r="EG63" s="125"/>
      <c r="EH63" s="125"/>
      <c r="EI63" s="125"/>
      <c r="EJ63" s="125"/>
      <c r="EK63" s="125"/>
      <c r="EL63" s="125"/>
      <c r="EM63" s="125"/>
      <c r="EN63" s="125"/>
      <c r="EO63" s="125"/>
      <c r="EP63" s="125"/>
      <c r="EQ63" s="125"/>
      <c r="ER63" s="125"/>
      <c r="ES63" s="125"/>
      <c r="ET63" s="125"/>
      <c r="EU63" s="125"/>
      <c r="EV63" s="125"/>
      <c r="EW63" s="125"/>
      <c r="EX63" s="125"/>
      <c r="EY63" s="125"/>
      <c r="EZ63" s="125"/>
      <c r="FA63" s="125"/>
      <c r="FB63" s="125"/>
      <c r="FC63" s="125"/>
      <c r="FD63" s="125"/>
      <c r="FE63" s="125"/>
      <c r="FF63" s="125"/>
      <c r="FG63" s="125"/>
      <c r="FH63" s="125"/>
      <c r="FI63" s="125"/>
      <c r="FJ63" s="125"/>
      <c r="FK63" s="125"/>
      <c r="FL63" s="125"/>
      <c r="FM63" s="125"/>
    </row>
    <row r="64" spans="80:169" x14ac:dyDescent="0.3">
      <c r="CB64" s="125"/>
      <c r="CC64" s="125"/>
      <c r="CD64" s="126"/>
      <c r="CE64" s="127"/>
      <c r="CF64" s="126"/>
      <c r="CG64" s="125"/>
      <c r="CH64" s="125"/>
      <c r="CI64" s="125"/>
      <c r="CJ64" s="125"/>
      <c r="CK64" s="88"/>
      <c r="CL64" s="125"/>
      <c r="CM64" s="125"/>
      <c r="CN64" s="125"/>
      <c r="CO64" s="125"/>
      <c r="CP64" s="125"/>
      <c r="CQ64" s="125"/>
      <c r="CR64" s="125"/>
      <c r="CS64" s="125"/>
      <c r="CT64" s="125"/>
      <c r="CU64" s="125"/>
      <c r="CV64" s="125"/>
      <c r="CW64" s="125"/>
      <c r="CX64" s="125"/>
      <c r="CY64" s="125"/>
      <c r="CZ64" s="125"/>
      <c r="DA64" s="125"/>
      <c r="DB64" s="125"/>
      <c r="DC64" s="125"/>
      <c r="DD64" s="125"/>
      <c r="DE64" s="125"/>
      <c r="DF64" s="125"/>
      <c r="DG64" s="125"/>
      <c r="DH64" s="125"/>
      <c r="DI64" s="125"/>
      <c r="DJ64" s="125"/>
      <c r="DK64" s="125"/>
      <c r="DL64" s="125"/>
      <c r="DM64" s="125"/>
      <c r="DN64" s="125"/>
      <c r="DO64" s="125"/>
      <c r="DP64" s="125"/>
      <c r="DQ64" s="125"/>
      <c r="DR64" s="125"/>
      <c r="DS64" s="125"/>
      <c r="DT64" s="125"/>
      <c r="DU64" s="125"/>
      <c r="DV64" s="125"/>
      <c r="DW64" s="125"/>
      <c r="DX64" s="125"/>
      <c r="DY64" s="125"/>
      <c r="DZ64" s="125"/>
      <c r="EA64" s="125"/>
      <c r="EB64" s="125"/>
      <c r="EC64" s="125"/>
      <c r="ED64" s="125"/>
      <c r="EE64" s="125"/>
      <c r="EF64" s="125"/>
      <c r="EG64" s="125"/>
      <c r="EH64" s="125"/>
      <c r="EI64" s="125"/>
      <c r="EJ64" s="125"/>
      <c r="EK64" s="125"/>
      <c r="EL64" s="125"/>
      <c r="EM64" s="125"/>
      <c r="EN64" s="125"/>
      <c r="EO64" s="125"/>
      <c r="EP64" s="125"/>
      <c r="EQ64" s="125"/>
      <c r="ER64" s="125"/>
      <c r="ES64" s="125"/>
      <c r="ET64" s="125"/>
      <c r="EU64" s="125"/>
      <c r="EV64" s="125"/>
      <c r="EW64" s="125"/>
      <c r="EX64" s="125"/>
      <c r="EY64" s="125"/>
      <c r="EZ64" s="125"/>
      <c r="FA64" s="125"/>
      <c r="FB64" s="125"/>
      <c r="FC64" s="125"/>
      <c r="FD64" s="125"/>
      <c r="FE64" s="125"/>
      <c r="FF64" s="125"/>
      <c r="FG64" s="125"/>
      <c r="FH64" s="125"/>
      <c r="FI64" s="125"/>
      <c r="FJ64" s="125"/>
      <c r="FK64" s="125"/>
      <c r="FL64" s="125"/>
      <c r="FM64" s="125"/>
    </row>
    <row r="65" spans="80:169" x14ac:dyDescent="0.3">
      <c r="CB65" s="125"/>
      <c r="CC65" s="125"/>
      <c r="CD65" s="126"/>
      <c r="CE65" s="127"/>
      <c r="CF65" s="126"/>
      <c r="CG65" s="125"/>
      <c r="CH65" s="125"/>
      <c r="CI65" s="125"/>
      <c r="CJ65" s="125"/>
      <c r="CK65" s="88"/>
      <c r="CL65" s="125"/>
      <c r="CM65" s="125"/>
      <c r="CN65" s="125"/>
      <c r="CO65" s="125"/>
      <c r="CP65" s="125"/>
      <c r="CQ65" s="125"/>
      <c r="CR65" s="125"/>
      <c r="CS65" s="125"/>
      <c r="CT65" s="125"/>
      <c r="CU65" s="125"/>
      <c r="CV65" s="125"/>
      <c r="CW65" s="125"/>
      <c r="CX65" s="125"/>
      <c r="CY65" s="125"/>
      <c r="CZ65" s="125"/>
      <c r="DA65" s="125"/>
      <c r="DB65" s="125"/>
      <c r="DC65" s="125"/>
      <c r="DD65" s="125"/>
      <c r="DE65" s="125"/>
      <c r="DF65" s="125"/>
      <c r="DG65" s="125"/>
      <c r="DH65" s="125"/>
      <c r="DI65" s="125"/>
      <c r="DJ65" s="125"/>
      <c r="DK65" s="125"/>
      <c r="DL65" s="125"/>
      <c r="DM65" s="125"/>
      <c r="DN65" s="125"/>
      <c r="DO65" s="125"/>
      <c r="DP65" s="125"/>
      <c r="DQ65" s="125"/>
      <c r="DR65" s="125"/>
      <c r="DS65" s="125"/>
      <c r="DT65" s="125"/>
      <c r="DU65" s="125"/>
      <c r="DV65" s="125"/>
      <c r="DW65" s="125"/>
      <c r="DX65" s="125"/>
      <c r="DY65" s="125"/>
      <c r="DZ65" s="125"/>
      <c r="EA65" s="125"/>
      <c r="EB65" s="125"/>
      <c r="EC65" s="125"/>
      <c r="ED65" s="125"/>
      <c r="EE65" s="125"/>
      <c r="EF65" s="125"/>
      <c r="EG65" s="125"/>
      <c r="EH65" s="125"/>
      <c r="EI65" s="125"/>
      <c r="EJ65" s="125"/>
      <c r="EK65" s="125"/>
      <c r="EL65" s="125"/>
      <c r="EM65" s="125"/>
      <c r="EN65" s="125"/>
      <c r="EO65" s="125"/>
      <c r="EP65" s="125"/>
      <c r="EQ65" s="125"/>
      <c r="ER65" s="125"/>
      <c r="ES65" s="125"/>
      <c r="ET65" s="125"/>
      <c r="EU65" s="125"/>
      <c r="EV65" s="125"/>
      <c r="EW65" s="125"/>
      <c r="EX65" s="125"/>
      <c r="EY65" s="125"/>
      <c r="EZ65" s="125"/>
      <c r="FA65" s="125"/>
      <c r="FB65" s="125"/>
      <c r="FC65" s="125"/>
      <c r="FD65" s="125"/>
      <c r="FE65" s="125"/>
      <c r="FF65" s="125"/>
      <c r="FG65" s="125"/>
      <c r="FH65" s="125"/>
      <c r="FI65" s="125"/>
      <c r="FJ65" s="125"/>
      <c r="FK65" s="125"/>
      <c r="FL65" s="125"/>
      <c r="FM65" s="125"/>
    </row>
    <row r="66" spans="80:169" x14ac:dyDescent="0.3">
      <c r="CB66" s="125"/>
      <c r="CC66" s="125"/>
      <c r="CD66" s="126"/>
      <c r="CE66" s="127"/>
      <c r="CF66" s="126"/>
      <c r="CG66" s="125"/>
      <c r="CH66" s="125"/>
      <c r="CI66" s="125"/>
      <c r="CJ66" s="125"/>
      <c r="CK66" s="88"/>
      <c r="CL66" s="125"/>
      <c r="CM66" s="125"/>
      <c r="CN66" s="125"/>
      <c r="CO66" s="125"/>
      <c r="CP66" s="125"/>
      <c r="CQ66" s="125"/>
      <c r="CR66" s="125"/>
      <c r="CS66" s="125"/>
      <c r="CT66" s="125"/>
      <c r="CU66" s="125"/>
      <c r="CV66" s="125"/>
      <c r="CW66" s="125"/>
      <c r="CX66" s="125"/>
      <c r="CY66" s="125"/>
      <c r="CZ66" s="125"/>
      <c r="DA66" s="125"/>
      <c r="DB66" s="125"/>
      <c r="DC66" s="125"/>
      <c r="DD66" s="125"/>
      <c r="DE66" s="125"/>
      <c r="DF66" s="125"/>
      <c r="DG66" s="125"/>
      <c r="DH66" s="125"/>
      <c r="DI66" s="125"/>
      <c r="DJ66" s="125"/>
      <c r="DK66" s="125"/>
      <c r="DL66" s="125"/>
      <c r="DM66" s="125"/>
      <c r="DN66" s="125"/>
      <c r="DO66" s="125"/>
      <c r="DP66" s="125"/>
      <c r="DQ66" s="125"/>
      <c r="DR66" s="125"/>
      <c r="DS66" s="125"/>
      <c r="DT66" s="125"/>
      <c r="DU66" s="125"/>
      <c r="DV66" s="125"/>
      <c r="DW66" s="125"/>
      <c r="DX66" s="125"/>
      <c r="DY66" s="125"/>
      <c r="DZ66" s="125"/>
      <c r="EA66" s="125"/>
      <c r="EB66" s="125"/>
      <c r="EC66" s="125"/>
      <c r="ED66" s="125"/>
      <c r="EE66" s="125"/>
      <c r="EF66" s="125"/>
      <c r="EG66" s="125"/>
      <c r="EH66" s="125"/>
      <c r="EI66" s="125"/>
      <c r="EJ66" s="125"/>
      <c r="EK66" s="125"/>
      <c r="EL66" s="125"/>
      <c r="EM66" s="125"/>
      <c r="EN66" s="125"/>
      <c r="EO66" s="125"/>
      <c r="EP66" s="125"/>
      <c r="EQ66" s="125"/>
      <c r="ER66" s="125"/>
      <c r="ES66" s="125"/>
      <c r="ET66" s="125"/>
      <c r="EU66" s="125"/>
      <c r="EV66" s="125"/>
      <c r="EW66" s="125"/>
      <c r="EX66" s="125"/>
      <c r="EY66" s="125"/>
      <c r="EZ66" s="125"/>
      <c r="FA66" s="125"/>
      <c r="FB66" s="125"/>
      <c r="FC66" s="125"/>
      <c r="FD66" s="125"/>
      <c r="FE66" s="125"/>
      <c r="FF66" s="125"/>
      <c r="FG66" s="125"/>
      <c r="FH66" s="125"/>
      <c r="FI66" s="125"/>
      <c r="FJ66" s="125"/>
      <c r="FK66" s="125"/>
      <c r="FL66" s="125"/>
      <c r="FM66" s="125"/>
    </row>
    <row r="67" spans="80:169" x14ac:dyDescent="0.3">
      <c r="CB67" s="125"/>
      <c r="CC67" s="125"/>
      <c r="CD67" s="126"/>
      <c r="CE67" s="127"/>
      <c r="CF67" s="126"/>
      <c r="CG67" s="125"/>
      <c r="CH67" s="125"/>
      <c r="CI67" s="125"/>
      <c r="CJ67" s="125"/>
      <c r="CK67" s="88"/>
      <c r="CL67" s="125"/>
      <c r="CM67" s="125"/>
      <c r="CN67" s="125"/>
      <c r="CO67" s="125"/>
      <c r="CP67" s="125"/>
      <c r="CQ67" s="125"/>
      <c r="CR67" s="125"/>
      <c r="CS67" s="125"/>
      <c r="CT67" s="125"/>
      <c r="CU67" s="125"/>
      <c r="CV67" s="125"/>
      <c r="CW67" s="125"/>
      <c r="CX67" s="125"/>
      <c r="CY67" s="125"/>
      <c r="CZ67" s="125"/>
      <c r="DA67" s="125"/>
      <c r="DB67" s="125"/>
      <c r="DC67" s="125"/>
      <c r="DD67" s="125"/>
      <c r="DE67" s="125"/>
      <c r="DF67" s="125"/>
      <c r="DG67" s="125"/>
      <c r="DH67" s="125"/>
      <c r="DI67" s="125"/>
      <c r="DJ67" s="125"/>
      <c r="DK67" s="125"/>
      <c r="DL67" s="125"/>
      <c r="DM67" s="125"/>
      <c r="DN67" s="125"/>
      <c r="DO67" s="125"/>
      <c r="DP67" s="125"/>
      <c r="DQ67" s="125"/>
      <c r="DR67" s="125"/>
      <c r="DS67" s="125"/>
      <c r="DT67" s="125"/>
      <c r="DU67" s="125"/>
      <c r="DV67" s="125"/>
      <c r="DW67" s="125"/>
      <c r="DX67" s="125"/>
      <c r="DY67" s="125"/>
      <c r="DZ67" s="125"/>
      <c r="EA67" s="125"/>
      <c r="EB67" s="125"/>
      <c r="EC67" s="125"/>
      <c r="ED67" s="125"/>
      <c r="EE67" s="125"/>
      <c r="EF67" s="125"/>
      <c r="EG67" s="125"/>
      <c r="EH67" s="125"/>
      <c r="EI67" s="125"/>
      <c r="EJ67" s="125"/>
      <c r="EK67" s="125"/>
      <c r="EL67" s="125"/>
      <c r="EM67" s="125"/>
      <c r="EN67" s="125"/>
      <c r="EO67" s="125"/>
      <c r="EP67" s="125"/>
      <c r="EQ67" s="125"/>
      <c r="ER67" s="125"/>
      <c r="ES67" s="125"/>
      <c r="ET67" s="125"/>
      <c r="EU67" s="125"/>
      <c r="EV67" s="125"/>
      <c r="EW67" s="125"/>
      <c r="EX67" s="125"/>
      <c r="EY67" s="125"/>
      <c r="EZ67" s="125"/>
      <c r="FA67" s="125"/>
      <c r="FB67" s="125"/>
      <c r="FC67" s="125"/>
      <c r="FD67" s="125"/>
      <c r="FE67" s="125"/>
      <c r="FF67" s="125"/>
      <c r="FG67" s="125"/>
      <c r="FH67" s="125"/>
      <c r="FI67" s="125"/>
      <c r="FJ67" s="125"/>
      <c r="FK67" s="125"/>
      <c r="FL67" s="125"/>
      <c r="FM67" s="125"/>
    </row>
    <row r="68" spans="80:169" x14ac:dyDescent="0.3">
      <c r="CB68" s="125"/>
      <c r="CC68" s="125"/>
      <c r="CD68" s="126"/>
      <c r="CE68" s="127"/>
      <c r="CF68" s="126"/>
      <c r="CG68" s="125"/>
      <c r="CH68" s="125"/>
      <c r="CI68" s="125"/>
      <c r="CJ68" s="125"/>
      <c r="CK68" s="88"/>
      <c r="CL68" s="125"/>
      <c r="CM68" s="125"/>
      <c r="CN68" s="125"/>
      <c r="CO68" s="125"/>
      <c r="CP68" s="125"/>
      <c r="CQ68" s="125"/>
      <c r="CR68" s="125"/>
      <c r="CS68" s="125"/>
      <c r="CT68" s="125"/>
      <c r="CU68" s="125"/>
      <c r="CV68" s="125"/>
      <c r="CW68" s="125"/>
      <c r="CX68" s="125"/>
      <c r="CY68" s="125"/>
      <c r="CZ68" s="125"/>
      <c r="DA68" s="125"/>
      <c r="DB68" s="125"/>
      <c r="DC68" s="125"/>
      <c r="DD68" s="125"/>
      <c r="DE68" s="125"/>
      <c r="DF68" s="125"/>
      <c r="DG68" s="125"/>
      <c r="DH68" s="125"/>
      <c r="DI68" s="125"/>
      <c r="DJ68" s="125"/>
      <c r="DK68" s="125"/>
      <c r="DL68" s="125"/>
      <c r="DM68" s="125"/>
      <c r="DN68" s="125"/>
      <c r="DO68" s="125"/>
      <c r="DP68" s="125"/>
      <c r="DQ68" s="125"/>
      <c r="DR68" s="125"/>
      <c r="DS68" s="125"/>
      <c r="DT68" s="125"/>
      <c r="DU68" s="125"/>
      <c r="DV68" s="125"/>
      <c r="DW68" s="125"/>
      <c r="DX68" s="125"/>
      <c r="DY68" s="125"/>
      <c r="DZ68" s="125"/>
      <c r="EA68" s="125"/>
      <c r="EB68" s="125"/>
      <c r="EC68" s="125"/>
      <c r="ED68" s="125"/>
      <c r="EE68" s="125"/>
      <c r="EF68" s="125"/>
      <c r="EG68" s="125"/>
      <c r="EH68" s="125"/>
      <c r="EI68" s="125"/>
      <c r="EJ68" s="125"/>
      <c r="EK68" s="125"/>
      <c r="EL68" s="125"/>
      <c r="EM68" s="125"/>
      <c r="EN68" s="125"/>
      <c r="EO68" s="125"/>
      <c r="EP68" s="125"/>
      <c r="EQ68" s="125"/>
      <c r="ER68" s="125"/>
      <c r="ES68" s="125"/>
      <c r="ET68" s="125"/>
      <c r="EU68" s="125"/>
      <c r="EV68" s="125"/>
      <c r="EW68" s="125"/>
      <c r="EX68" s="125"/>
      <c r="EY68" s="125"/>
      <c r="EZ68" s="125"/>
      <c r="FA68" s="125"/>
      <c r="FB68" s="125"/>
      <c r="FC68" s="125"/>
      <c r="FD68" s="125"/>
      <c r="FE68" s="125"/>
      <c r="FF68" s="125"/>
      <c r="FG68" s="125"/>
      <c r="FH68" s="125"/>
      <c r="FI68" s="125"/>
      <c r="FJ68" s="125"/>
      <c r="FK68" s="125"/>
      <c r="FL68" s="125"/>
      <c r="FM68" s="125"/>
    </row>
    <row r="69" spans="80:169" x14ac:dyDescent="0.3">
      <c r="CB69" s="125"/>
      <c r="CC69" s="125"/>
      <c r="CD69" s="126"/>
      <c r="CE69" s="127"/>
      <c r="CF69" s="126"/>
      <c r="CG69" s="125"/>
      <c r="CH69" s="125"/>
      <c r="CI69" s="125"/>
      <c r="CJ69" s="125"/>
      <c r="CK69" s="88"/>
      <c r="CL69" s="125"/>
      <c r="CM69" s="125"/>
      <c r="CN69" s="125"/>
      <c r="CO69" s="125"/>
      <c r="CP69" s="125"/>
      <c r="CQ69" s="125"/>
      <c r="CR69" s="125"/>
      <c r="CS69" s="125"/>
      <c r="CT69" s="125"/>
      <c r="CU69" s="125"/>
      <c r="CV69" s="125"/>
      <c r="CW69" s="125"/>
      <c r="CX69" s="125"/>
      <c r="CY69" s="125"/>
      <c r="CZ69" s="125"/>
      <c r="DA69" s="125"/>
      <c r="DB69" s="125"/>
      <c r="DC69" s="125"/>
      <c r="DD69" s="125"/>
      <c r="DE69" s="125"/>
      <c r="DF69" s="125"/>
      <c r="DG69" s="125"/>
      <c r="DH69" s="125"/>
      <c r="DI69" s="125"/>
      <c r="DJ69" s="125"/>
      <c r="DK69" s="125"/>
      <c r="DL69" s="125"/>
      <c r="DM69" s="125"/>
      <c r="DN69" s="125"/>
      <c r="DO69" s="125"/>
      <c r="DP69" s="125"/>
      <c r="DQ69" s="125"/>
      <c r="DR69" s="125"/>
      <c r="DS69" s="125"/>
      <c r="DT69" s="125"/>
      <c r="DU69" s="125"/>
      <c r="DV69" s="125"/>
      <c r="DW69" s="125"/>
      <c r="DX69" s="125"/>
      <c r="DY69" s="125"/>
      <c r="DZ69" s="125"/>
      <c r="EA69" s="125"/>
      <c r="EB69" s="125"/>
      <c r="EC69" s="125"/>
      <c r="ED69" s="125"/>
      <c r="EE69" s="125"/>
      <c r="EF69" s="125"/>
      <c r="EG69" s="125"/>
      <c r="EH69" s="125"/>
      <c r="EI69" s="125"/>
      <c r="EJ69" s="125"/>
      <c r="EK69" s="125"/>
      <c r="EL69" s="125"/>
      <c r="EM69" s="125"/>
      <c r="EN69" s="125"/>
      <c r="EO69" s="125"/>
      <c r="EP69" s="125"/>
      <c r="EQ69" s="125"/>
      <c r="ER69" s="125"/>
      <c r="ES69" s="125"/>
      <c r="ET69" s="125"/>
      <c r="EU69" s="125"/>
      <c r="EV69" s="125"/>
      <c r="EW69" s="125"/>
      <c r="EX69" s="125"/>
      <c r="EY69" s="125"/>
      <c r="EZ69" s="125"/>
      <c r="FA69" s="125"/>
      <c r="FB69" s="125"/>
      <c r="FC69" s="125"/>
      <c r="FD69" s="125"/>
      <c r="FE69" s="125"/>
      <c r="FF69" s="125"/>
      <c r="FG69" s="125"/>
      <c r="FH69" s="125"/>
      <c r="FI69" s="125"/>
      <c r="FJ69" s="125"/>
      <c r="FK69" s="125"/>
      <c r="FL69" s="125"/>
      <c r="FM69" s="125"/>
    </row>
    <row r="70" spans="80:169" x14ac:dyDescent="0.3">
      <c r="CB70" s="125"/>
      <c r="CC70" s="125"/>
      <c r="CD70" s="126"/>
      <c r="CE70" s="127"/>
      <c r="CF70" s="126"/>
      <c r="CG70" s="125"/>
      <c r="CH70" s="125"/>
      <c r="CI70" s="125"/>
      <c r="CJ70" s="125"/>
      <c r="CK70" s="88"/>
      <c r="CL70" s="125"/>
      <c r="CM70" s="125"/>
      <c r="CN70" s="125"/>
      <c r="CO70" s="125"/>
      <c r="CP70" s="125"/>
      <c r="CQ70" s="125"/>
      <c r="CR70" s="125"/>
      <c r="CS70" s="125"/>
      <c r="CT70" s="125"/>
      <c r="CU70" s="125"/>
      <c r="CV70" s="125"/>
      <c r="CW70" s="125"/>
      <c r="CX70" s="125"/>
      <c r="CY70" s="125"/>
      <c r="CZ70" s="125"/>
      <c r="DA70" s="125"/>
      <c r="DB70" s="125"/>
      <c r="DC70" s="125"/>
      <c r="DD70" s="125"/>
      <c r="DE70" s="125"/>
      <c r="DF70" s="125"/>
      <c r="DG70" s="125"/>
      <c r="DH70" s="125"/>
      <c r="DI70" s="125"/>
      <c r="DJ70" s="125"/>
      <c r="DK70" s="125"/>
      <c r="DL70" s="125"/>
      <c r="DM70" s="125"/>
      <c r="DN70" s="125"/>
      <c r="DO70" s="125"/>
      <c r="DP70" s="125"/>
      <c r="DQ70" s="125"/>
      <c r="DR70" s="125"/>
      <c r="DS70" s="125"/>
      <c r="DT70" s="125"/>
      <c r="DU70" s="125"/>
      <c r="DV70" s="125"/>
      <c r="DW70" s="125"/>
      <c r="DX70" s="125"/>
      <c r="DY70" s="125"/>
      <c r="DZ70" s="125"/>
      <c r="EA70" s="125"/>
      <c r="EB70" s="125"/>
      <c r="EC70" s="125"/>
      <c r="ED70" s="125"/>
      <c r="EE70" s="125"/>
      <c r="EF70" s="125"/>
      <c r="EG70" s="125"/>
      <c r="EH70" s="125"/>
      <c r="EI70" s="125"/>
      <c r="EJ70" s="125"/>
      <c r="EK70" s="125"/>
      <c r="EL70" s="125"/>
      <c r="EM70" s="125"/>
      <c r="EN70" s="125"/>
      <c r="EO70" s="125"/>
      <c r="EP70" s="125"/>
      <c r="EQ70" s="125"/>
      <c r="ER70" s="125"/>
      <c r="ES70" s="125"/>
      <c r="ET70" s="125"/>
      <c r="EU70" s="125"/>
      <c r="EV70" s="125"/>
      <c r="EW70" s="125"/>
      <c r="EX70" s="125"/>
      <c r="EY70" s="125"/>
      <c r="EZ70" s="125"/>
      <c r="FA70" s="125"/>
      <c r="FB70" s="125"/>
      <c r="FC70" s="125"/>
      <c r="FD70" s="125"/>
      <c r="FE70" s="125"/>
      <c r="FF70" s="125"/>
      <c r="FG70" s="125"/>
      <c r="FH70" s="125"/>
      <c r="FI70" s="125"/>
      <c r="FJ70" s="125"/>
      <c r="FK70" s="125"/>
      <c r="FL70" s="125"/>
      <c r="FM70" s="125"/>
    </row>
  </sheetData>
  <sheetProtection algorithmName="SHA-512" hashValue="Yg6ZKNJI0JLInMjLIf5mymeMM3NLpz4+/XdSRG73MLwRrW9s7bGwvDM6kLoagNQEgQBjertWqtD2tfR20QMOMg==" saltValue="sAiB2FhfKt1hy8BD3ZEuUg==" spinCount="100000" sheet="1" objects="1" scenarios="1" selectLockedCells="1"/>
  <mergeCells count="32">
    <mergeCell ref="DB19:DD21"/>
    <mergeCell ref="DA18:DE18"/>
    <mergeCell ref="DA22:DE22"/>
    <mergeCell ref="DA19:DA21"/>
    <mergeCell ref="DE19:DE21"/>
    <mergeCell ref="CP11:CR11"/>
    <mergeCell ref="CP27:CR27"/>
    <mergeCell ref="CV18:CX18"/>
    <mergeCell ref="CD2:CF2"/>
    <mergeCell ref="CJ2:CL2"/>
    <mergeCell ref="CP2:CR2"/>
    <mergeCell ref="CV2:CX2"/>
    <mergeCell ref="CV19:CX19"/>
    <mergeCell ref="N21:R21"/>
    <mergeCell ref="N25:R25"/>
    <mergeCell ref="N29:R29"/>
    <mergeCell ref="N33:R33"/>
    <mergeCell ref="CJ7:CL7"/>
    <mergeCell ref="CJ15:CL15"/>
    <mergeCell ref="CJ23:CL23"/>
    <mergeCell ref="CJ31:CL31"/>
    <mergeCell ref="CD5:CF5"/>
    <mergeCell ref="CD9:CF9"/>
    <mergeCell ref="CD13:CF13"/>
    <mergeCell ref="CD17:CF17"/>
    <mergeCell ref="CD21:CF21"/>
    <mergeCell ref="CD25:CF25"/>
    <mergeCell ref="CD29:CF29"/>
    <mergeCell ref="CD33:CF33"/>
    <mergeCell ref="N9:R9"/>
    <mergeCell ref="N13:R13"/>
    <mergeCell ref="N17:R17"/>
  </mergeCells>
  <conditionalFormatting sqref="CD6:CF7 CD10:CF11 CD14:CF15 CD18:CF19 CD22:CF23 CD26:CF27 CD30:CF31 CD34:CF35">
    <cfRule type="expression" dxfId="11" priority="9">
      <formula>$S6</formula>
    </cfRule>
  </conditionalFormatting>
  <conditionalFormatting sqref="CJ8:CL9 CJ16:CL17 CJ24:CL25 CJ32:CL33">
    <cfRule type="expression" dxfId="10" priority="8">
      <formula>$AM8</formula>
    </cfRule>
  </conditionalFormatting>
  <conditionalFormatting sqref="CP12:CR13 CP28:CR29">
    <cfRule type="expression" dxfId="9" priority="7">
      <formula>$BG12</formula>
    </cfRule>
  </conditionalFormatting>
  <conditionalFormatting sqref="CV20:CX21">
    <cfRule type="expression" dxfId="8" priority="6">
      <formula>$CA20</formula>
    </cfRule>
  </conditionalFormatting>
  <conditionalFormatting sqref="DA19:DA21">
    <cfRule type="expression" dxfId="7" priority="5">
      <formula>OR($CA$20,$CA$21)</formula>
    </cfRule>
  </conditionalFormatting>
  <conditionalFormatting sqref="DB19:DD21">
    <cfRule type="expression" dxfId="6" priority="4">
      <formula>OR($CA$20,$CA$21)</formula>
    </cfRule>
  </conditionalFormatting>
  <conditionalFormatting sqref="DA18:DE18">
    <cfRule type="expression" dxfId="5" priority="3">
      <formula>OR($CA$20,$CA$21)</formula>
    </cfRule>
  </conditionalFormatting>
  <conditionalFormatting sqref="DE19:DE21">
    <cfRule type="expression" dxfId="4" priority="2">
      <formula>OR($CA$20,$CA$21)</formula>
    </cfRule>
  </conditionalFormatting>
  <conditionalFormatting sqref="DA22:DE22">
    <cfRule type="expression" dxfId="3" priority="1">
      <formula>OR($CA$20,$CA$21)</formula>
    </cfRule>
  </conditionalFormatting>
  <hyperlinks>
    <hyperlink ref="DB2" location="'Index &amp; Summary'!A1" display="Index" xr:uid="{7EC91FCD-877F-4105-8CA1-99A6D5772423}"/>
  </hyperlinks>
  <pageMargins left="0.7" right="0.7" top="0.75" bottom="0.75" header="0.3" footer="0.3"/>
  <pageSetup paperSize="9" orientation="portrait" horizontalDpi="360" verticalDpi="36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E23BD-0A0F-420A-B519-60E7AF9A2956}">
  <dimension ref="B2:AY26"/>
  <sheetViews>
    <sheetView zoomScale="85" zoomScaleNormal="85" workbookViewId="0">
      <selection activeCell="I18" sqref="I18"/>
    </sheetView>
  </sheetViews>
  <sheetFormatPr defaultRowHeight="15" x14ac:dyDescent="0.25"/>
  <cols>
    <col min="2" max="2" width="13.7109375" bestFit="1" customWidth="1"/>
    <col min="3" max="3" width="14.42578125" bestFit="1" customWidth="1"/>
    <col min="4" max="4" width="17.28515625" bestFit="1" customWidth="1"/>
    <col min="5" max="5" width="16.5703125" bestFit="1" customWidth="1"/>
    <col min="6" max="6" width="16.5703125" customWidth="1"/>
    <col min="7" max="7" width="15.140625" bestFit="1" customWidth="1"/>
    <col min="8" max="8" width="18.5703125" bestFit="1" customWidth="1"/>
    <col min="9" max="9" width="22.42578125" bestFit="1" customWidth="1"/>
    <col min="10" max="10" width="14.140625" bestFit="1" customWidth="1"/>
    <col min="11" max="11" width="14.140625" customWidth="1"/>
    <col min="12" max="12" width="14.42578125" bestFit="1" customWidth="1"/>
    <col min="13" max="13" width="21.85546875" bestFit="1" customWidth="1"/>
    <col min="14" max="14" width="19" bestFit="1" customWidth="1"/>
    <col min="15" max="15" width="18" bestFit="1" customWidth="1"/>
    <col min="16" max="16" width="15.42578125" bestFit="1" customWidth="1"/>
    <col min="17" max="17" width="14.7109375" bestFit="1" customWidth="1"/>
    <col min="18" max="18" width="18.140625" bestFit="1" customWidth="1"/>
    <col min="19" max="19" width="22" bestFit="1" customWidth="1"/>
    <col min="20" max="22" width="22" customWidth="1"/>
    <col min="23" max="23" width="21.42578125" bestFit="1" customWidth="1"/>
    <col min="24" max="24" width="18.5703125" bestFit="1" customWidth="1"/>
    <col min="25" max="25" width="17.5703125" bestFit="1" customWidth="1"/>
    <col min="26" max="26" width="15" bestFit="1" customWidth="1"/>
    <col min="27" max="27" width="14.28515625" bestFit="1" customWidth="1"/>
    <col min="28" max="28" width="18" bestFit="1" customWidth="1"/>
    <col min="29" max="29" width="17.7109375" bestFit="1" customWidth="1"/>
    <col min="30" max="30" width="21.5703125" bestFit="1" customWidth="1"/>
    <col min="31" max="33" width="21.5703125" customWidth="1"/>
    <col min="34" max="34" width="21" bestFit="1" customWidth="1"/>
    <col min="35" max="35" width="18.140625" bestFit="1" customWidth="1"/>
    <col min="36" max="36" width="17.140625" bestFit="1" customWidth="1"/>
    <col min="37" max="37" width="25.140625" bestFit="1" customWidth="1"/>
    <col min="38" max="38" width="25.140625" customWidth="1"/>
    <col min="39" max="39" width="26.7109375" bestFit="1" customWidth="1"/>
    <col min="40" max="40" width="21" bestFit="1" customWidth="1"/>
    <col min="41" max="42" width="32.140625" bestFit="1" customWidth="1"/>
    <col min="43" max="43" width="23.42578125" bestFit="1" customWidth="1"/>
    <col min="44" max="44" width="20.85546875" bestFit="1" customWidth="1"/>
    <col min="45" max="45" width="19.7109375" bestFit="1" customWidth="1"/>
    <col min="46" max="46" width="15.42578125" bestFit="1" customWidth="1"/>
    <col min="47" max="47" width="25.85546875" bestFit="1" customWidth="1"/>
    <col min="48" max="48" width="20.28515625" bestFit="1" customWidth="1"/>
    <col min="49" max="49" width="26.140625" customWidth="1"/>
    <col min="50" max="50" width="14.140625" bestFit="1" customWidth="1"/>
    <col min="51" max="51" width="19.140625" bestFit="1" customWidth="1"/>
  </cols>
  <sheetData>
    <row r="2" spans="2:51" x14ac:dyDescent="0.25">
      <c r="B2" t="s">
        <v>191</v>
      </c>
      <c r="C2" t="s">
        <v>40</v>
      </c>
      <c r="D2" t="s">
        <v>35</v>
      </c>
      <c r="E2" t="s">
        <v>39</v>
      </c>
      <c r="F2" t="s">
        <v>311</v>
      </c>
      <c r="G2" t="s">
        <v>194</v>
      </c>
      <c r="H2" t="s">
        <v>202</v>
      </c>
      <c r="I2" t="s">
        <v>203</v>
      </c>
      <c r="J2" t="s">
        <v>296</v>
      </c>
      <c r="K2" t="s">
        <v>309</v>
      </c>
      <c r="L2" t="s">
        <v>310</v>
      </c>
      <c r="M2" t="s">
        <v>204</v>
      </c>
      <c r="N2" t="s">
        <v>205</v>
      </c>
      <c r="O2" t="s">
        <v>206</v>
      </c>
      <c r="P2" t="s">
        <v>312</v>
      </c>
      <c r="Q2" t="s">
        <v>195</v>
      </c>
      <c r="R2" t="s">
        <v>207</v>
      </c>
      <c r="S2" t="s">
        <v>208</v>
      </c>
      <c r="T2" t="s">
        <v>297</v>
      </c>
      <c r="U2" t="s">
        <v>313</v>
      </c>
      <c r="V2" t="s">
        <v>314</v>
      </c>
      <c r="W2" t="s">
        <v>209</v>
      </c>
      <c r="X2" t="s">
        <v>210</v>
      </c>
      <c r="Y2" t="s">
        <v>211</v>
      </c>
      <c r="Z2" t="s">
        <v>315</v>
      </c>
      <c r="AA2" t="s">
        <v>212</v>
      </c>
      <c r="AB2" t="s">
        <v>298</v>
      </c>
      <c r="AC2" t="s">
        <v>213</v>
      </c>
      <c r="AD2" t="s">
        <v>214</v>
      </c>
      <c r="AE2" t="s">
        <v>299</v>
      </c>
      <c r="AF2" t="s">
        <v>316</v>
      </c>
      <c r="AG2" t="s">
        <v>317</v>
      </c>
      <c r="AH2" t="s">
        <v>215</v>
      </c>
      <c r="AI2" t="s">
        <v>216</v>
      </c>
      <c r="AJ2" t="s">
        <v>217</v>
      </c>
      <c r="AK2" t="s">
        <v>218</v>
      </c>
      <c r="AL2" t="s">
        <v>414</v>
      </c>
      <c r="AM2" t="s">
        <v>246</v>
      </c>
      <c r="AN2" t="s">
        <v>239</v>
      </c>
      <c r="AO2" t="s">
        <v>294</v>
      </c>
      <c r="AP2" t="s">
        <v>295</v>
      </c>
      <c r="AQ2" t="s">
        <v>300</v>
      </c>
      <c r="AR2" t="s">
        <v>301</v>
      </c>
      <c r="AS2" t="s">
        <v>302</v>
      </c>
      <c r="AT2" t="s">
        <v>303</v>
      </c>
      <c r="AU2" t="s">
        <v>304</v>
      </c>
      <c r="AV2" t="s">
        <v>305</v>
      </c>
      <c r="AW2" t="s">
        <v>306</v>
      </c>
      <c r="AX2" t="s">
        <v>307</v>
      </c>
      <c r="AY2" t="s">
        <v>308</v>
      </c>
    </row>
    <row r="3" spans="2:51" x14ac:dyDescent="0.25">
      <c r="B3" t="s">
        <v>196</v>
      </c>
      <c r="C3" t="str">
        <f>LEFT(tblGroupTotals[[#This Row],[Team_Code]],1)</f>
        <v>A</v>
      </c>
      <c r="D3" t="str">
        <f>RIGHT(tblGroupTotals[[#This Row],[Team_Code]],1)</f>
        <v>1</v>
      </c>
      <c r="E3">
        <f>INDEX(lkupTeam[],MATCH(tblGroupTotals[[#This Row],[Team_Code]],lkupTeam[Team_Code],0),MATCH("Team_Number",lkupTeam[#Headers],0))</f>
        <v>1</v>
      </c>
      <c r="F3">
        <f>COUNTIFS(tblGroupMatch[Home_Team_Number],tblGroupTotals[[#This Row],[Team_Number]],tblGroupMatch[Is_Complete],TRUE)</f>
        <v>0</v>
      </c>
      <c r="G3">
        <f>SUMIFS(tblGroupMatch[Home_Points],tblGroupMatch[Home_Team_Number],tblGroupTotals[[#This Row],[Team_Number]])</f>
        <v>0</v>
      </c>
      <c r="H3">
        <f>SUMIFS(tblGroupMatch[Team A Goals],tblGroupMatch[Home_Team_Number],tblGroupTotals[[#This Row],[Team_Number]])</f>
        <v>0</v>
      </c>
      <c r="I3">
        <f>SUMIFS(tblGroupMatch[Team B Goals],tblGroupMatch[Home_Team_Number],tblGroupTotals[[#This Row],[Team_Number]])</f>
        <v>0</v>
      </c>
      <c r="J3">
        <f>COUNTIFS(tblGroupMatch[Home_Team_Number],tblGroupTotals[[#This Row],[Team_Number]],tblGroupMatch[Home_Points],3)</f>
        <v>0</v>
      </c>
      <c r="K3">
        <f>COUNTIFS(tblGroupMatch[Home_Team_Number],tblGroupTotals[[#This Row],[Team_Number]],tblGroupMatch[Home_Points],1)</f>
        <v>0</v>
      </c>
      <c r="L3">
        <f>COUNTIFS(tblGroupMatch[Home_Team_Number],tblGroupTotals[[#This Row],[Team_Number]],tblGroupMatch[Home_Points],0)</f>
        <v>0</v>
      </c>
      <c r="M3">
        <f>SUMIFS(tblGroupMatch[Team A YCs],tblGroupMatch[Home_Team_Number],tblGroupTotals[[#This Row],[Team_Number]])</f>
        <v>0</v>
      </c>
      <c r="N3">
        <f>SUMIFS(tblGroupMatch[Team A RCs],tblGroupMatch[Home_Team_Number],tblGroupTotals[[#This Row],[Team_Number]])</f>
        <v>0</v>
      </c>
      <c r="O3">
        <f>SUMIFS(tblGroupMatch[Team A Penalties],tblGroupMatch[Home_Team_Number],tblGroupTotals[[#This Row],[Team_Number]])</f>
        <v>0</v>
      </c>
      <c r="P3">
        <f>COUNTIFS(tblGroupMatch[Away_Team_Number],tblGroupTotals[[#This Row],[Team_Number]],tblGroupMatch[Is_Complete],TRUE)</f>
        <v>0</v>
      </c>
      <c r="Q3">
        <f>SUMIFS(tblGroupMatch[Away_Points],tblGroupMatch[Away_Team_Number],tblGroupTotals[[#This Row],[Team_Number]])</f>
        <v>0</v>
      </c>
      <c r="R3">
        <f>SUMIFS(tblGroupMatch[Team B Goals],tblGroupMatch[Away_Team_Number],tblGroupTotals[[#This Row],[Team_Number]])</f>
        <v>0</v>
      </c>
      <c r="S3">
        <f>SUMIFS(tblGroupMatch[Team A Goals],tblGroupMatch[Away_Team_Number],tblGroupTotals[[#This Row],[Team_Number]])</f>
        <v>0</v>
      </c>
      <c r="T3">
        <f>COUNTIFS(tblGroupMatch[Away_Team_Number],tblGroupTotals[[#This Row],[Team_Number]],tblGroupMatch[Away_Points],3)</f>
        <v>0</v>
      </c>
      <c r="U3">
        <f>COUNTIFS(tblGroupMatch[Away_Team_Number],tblGroupTotals[[#This Row],[Team_Number]],tblGroupMatch[Away_Points],1)</f>
        <v>0</v>
      </c>
      <c r="V3">
        <f>COUNTIFS(tblGroupMatch[Away_Team_Number],tblGroupTotals[[#This Row],[Team_Number]],tblGroupMatch[Away_Points],0)</f>
        <v>0</v>
      </c>
      <c r="W3">
        <f>SUMIFS(tblGroupMatch[Team B Ycs],tblGroupMatch[Away_Team_Number],tblGroupTotals[[#This Row],[Team_Number]])</f>
        <v>0</v>
      </c>
      <c r="X3">
        <f>SUMIFS(tblGroupMatch[Team B RCs],tblGroupMatch[Away_Team_Number],tblGroupTotals[[#This Row],[Team_Number]])</f>
        <v>0</v>
      </c>
      <c r="Y3">
        <f>SUMIFS(tblGroupMatch[Team B Penalties],tblGroupMatch[Away_Team_Number],tblGroupTotals[[#This Row],[Team_Number]])</f>
        <v>0</v>
      </c>
      <c r="Z3">
        <f>SUM(tblGroupTotals[[#This Row],[Home_Games]],tblGroupTotals[[#This Row],[Away_Games]])</f>
        <v>0</v>
      </c>
      <c r="AA3" s="12">
        <f>SUM(tblGroupTotals[[#This Row],[Home_Points]],tblGroupTotals[[#This Row],[Away_Points]])</f>
        <v>0</v>
      </c>
      <c r="AB3" s="12">
        <f>tblGroupTotals[[#This Row],[Total_Goals_For]]-tblGroupTotals[[#This Row],[Total_Goals_Against]]</f>
        <v>0</v>
      </c>
      <c r="AC3" s="12">
        <f>SUM(tblGroupTotals[[#This Row],[Home_Goals_For]],tblGroupTotals[[#This Row],[Away_Goals_For]])</f>
        <v>0</v>
      </c>
      <c r="AD3" s="12">
        <f>SUM(tblGroupTotals[[#This Row],[Home_Goals_Against]],tblGroupTotals[[#This Row],[Away_Goals_Against]])</f>
        <v>0</v>
      </c>
      <c r="AE3" s="12">
        <f>SUM(tblGroupTotals[[#This Row],[Home_Wins]],tblGroupTotals[[#This Row],[Away_Wins]])</f>
        <v>0</v>
      </c>
      <c r="AF3" s="12">
        <f>SUM(tblGroupTotals[[#This Row],[Home_Draws]],tblGroupTotals[[#This Row],[Away_Draws]])</f>
        <v>0</v>
      </c>
      <c r="AG3" s="12">
        <f>SUM(tblGroupTotals[[#This Row],[Home_Loses]],tblGroupTotals[[#This Row],[Away_Loses]])</f>
        <v>0</v>
      </c>
      <c r="AH3" s="12">
        <f>SUM(tblGroupTotals[[#This Row],[Home_Yellow_Cards]],tblGroupTotals[[#This Row],[Away_Yellow_Cards]])</f>
        <v>0</v>
      </c>
      <c r="AI3" s="12">
        <f>SUM(tblGroupTotals[[#This Row],[Home_Red_Cards]],tblGroupTotals[[#This Row],[Away_Red_Cards]])</f>
        <v>0</v>
      </c>
      <c r="AJ3" s="12">
        <f>SUM(tblGroupTotals[[#This Row],[Home_Penalties]],tblGroupTotals[[#This Row],[Away_Penalties]])</f>
        <v>0</v>
      </c>
      <c r="AK3" s="12">
        <f>SUM(tblGroupTotals[[#This Row],[Total_Yellow_Cards]],tblGroupTotals[[#This Row],[Total_Red_Cards]]*3)</f>
        <v>0</v>
      </c>
      <c r="AL3" s="12">
        <f>INDEX(lkupTeam[],MATCH(tblGroupTotals[[#This Row],[Team_Code]],lkupTeam[Team_Code],0),MATCH("Qualifier_Rank",lkupTeam[#Headers],0))</f>
        <v>14</v>
      </c>
      <c r="AM3" s="12" t="str">
        <f>tblGroupTotals[[#This Row],[Group_Code]]&amp;tblGroupTotals[[#This Row],[Group_Points_Rank]]&amp;tblGroupTotals[[#This Row],[Group_Number]]</f>
        <v>A11</v>
      </c>
      <c r="AN3" s="12" cm="1">
        <f t="array" ref="AN3">SUMPRODUCT((tblGroupTotals[[#This Row],[Group_Code]]=tblGroupTotals[Group_Code])*(tblGroupTotals[[#This Row],[Total_Points]]&lt;tblGroupTotals[Total_Points]))+1</f>
        <v>1</v>
      </c>
      <c r="AO3"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3"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3" s="12" cm="1">
        <f t="array" ref="AQ3">SUMPRODUCT((tblGroupTotals[[#This Row],[Group_Code]]=tblGroupTotals[Group_Code])*(tblGroupTotals[[#This Row],[Goal_Difference]]&lt;tblGroupTotals[Goal_Difference]))+1</f>
        <v>1</v>
      </c>
      <c r="AR3" s="12" cm="1">
        <f t="array" ref="AR3">SUMPRODUCT((tblGroupTotals[[#This Row],[Group_Code]]=tblGroupTotals[Group_Code])*(tblGroupTotals[[#This Row],[Total_Goals_For]]&lt;tblGroupTotals[Total_Goals_For]))+1</f>
        <v>1</v>
      </c>
      <c r="AS3" s="12" cm="1">
        <f t="array" ref="AS3">SUMPRODUCT((tblGroupTotals[[#This Row],[Group_Code]]=tblGroupTotals[Group_Code])*(tblGroupTotals[[#This Row],[Total_Wins]]&lt;tblGroupTotals[Total_Wins]))+1</f>
        <v>1</v>
      </c>
      <c r="AT3" s="12" cm="1">
        <f t="array" ref="AT3">SUMPRODUCT((tblGroupTotals[[#This Row],[Group_Code]]=tblGroupTotals[Group_Code])*(tblGroupTotals[[#This Row],[Total_Penalties]]&lt;tblGroupTotals[Total_Penalties]))+1</f>
        <v>1</v>
      </c>
      <c r="AU3" s="12" cm="1">
        <f t="array" ref="AU3">SUMPRODUCT((tblGroupTotals[[#This Row],[Group_Code]]=tblGroupTotals[Group_Code])*(tblGroupTotals[[#This Row],[Total_Diciplinary_Points]]&gt;tblGroupTotals[Total_Diciplinary_Points]))+1</f>
        <v>1</v>
      </c>
      <c r="AV3" s="12" cm="1">
        <f t="array" ref="AV3">SUMPRODUCT((tblGroupTotals[[#This Row],[Group_Code]]=tblGroupTotals[Group_Code])*(tblGroupTotals[[#This Row],[Qualifier_Rank_Position]]&gt;tblGroupTotals[Qualifier_Rank_Position]))+1</f>
        <v>3</v>
      </c>
      <c r="AW3"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3" s="12" cm="1">
        <f t="array" aca="1" ref="AX3" ca="1">SUMPRODUCT((tblGroupTotals[[#This Row],[Group_Code]]=tblGroupTotals[Group_Code])*(tblGroupTotals[[#This Row],[Total_Group_Rank_Value]]&gt;tblGroupTotals[Total_Group_Rank_Value]))+1</f>
        <v>3</v>
      </c>
      <c r="AY3" s="12" t="str">
        <f ca="1">tblGroupTotals[[#This Row],[Group_Code]]&amp;tblGroupTotals[[#This Row],[Group_Rank]]</f>
        <v>A3</v>
      </c>
    </row>
    <row r="4" spans="2:51" x14ac:dyDescent="0.25">
      <c r="B4" t="s">
        <v>197</v>
      </c>
      <c r="C4" t="str">
        <f>LEFT(tblGroupTotals[[#This Row],[Team_Code]],1)</f>
        <v>A</v>
      </c>
      <c r="D4" t="str">
        <f>RIGHT(tblGroupTotals[[#This Row],[Team_Code]],1)</f>
        <v>2</v>
      </c>
      <c r="E4">
        <f>INDEX(lkupTeam[],MATCH(tblGroupTotals[[#This Row],[Team_Code]],lkupTeam[Team_Code],0),MATCH("Team_Number",lkupTeam[#Headers],0))</f>
        <v>2</v>
      </c>
      <c r="F4">
        <f>COUNTIFS(tblGroupMatch[Home_Team_Number],tblGroupTotals[[#This Row],[Team_Number]],tblGroupMatch[Is_Complete],TRUE)</f>
        <v>0</v>
      </c>
      <c r="G4">
        <f>SUMIFS(tblGroupMatch[Home_Points],tblGroupMatch[Home_Team_Number],tblGroupTotals[[#This Row],[Team_Number]])</f>
        <v>0</v>
      </c>
      <c r="H4">
        <f>SUMIFS(tblGroupMatch[Team A Goals],tblGroupMatch[Home_Team_Number],tblGroupTotals[[#This Row],[Team_Number]])</f>
        <v>0</v>
      </c>
      <c r="I4">
        <f>SUMIFS(tblGroupMatch[Team B Goals],tblGroupMatch[Home_Team_Number],tblGroupTotals[[#This Row],[Team_Number]])</f>
        <v>0</v>
      </c>
      <c r="J4">
        <f>COUNTIFS(tblGroupMatch[Home_Team_Number],tblGroupTotals[[#This Row],[Team_Number]],tblGroupMatch[Home_Points],3)</f>
        <v>0</v>
      </c>
      <c r="K4">
        <f>COUNTIFS(tblGroupMatch[Home_Team_Number],tblGroupTotals[[#This Row],[Team_Number]],tblGroupMatch[Home_Points],1)</f>
        <v>0</v>
      </c>
      <c r="L4">
        <f>COUNTIFS(tblGroupMatch[Home_Team_Number],tblGroupTotals[[#This Row],[Team_Number]],tblGroupMatch[Home_Points],0)</f>
        <v>0</v>
      </c>
      <c r="M4">
        <f>SUMIFS(tblGroupMatch[Team A YCs],tblGroupMatch[Home_Team_Number],tblGroupTotals[[#This Row],[Team_Number]])</f>
        <v>0</v>
      </c>
      <c r="N4">
        <f>SUMIFS(tblGroupMatch[Team A RCs],tblGroupMatch[Home_Team_Number],tblGroupTotals[[#This Row],[Team_Number]])</f>
        <v>0</v>
      </c>
      <c r="O4">
        <f>SUMIFS(tblGroupMatch[Team A Penalties],tblGroupMatch[Home_Team_Number],tblGroupTotals[[#This Row],[Team_Number]])</f>
        <v>0</v>
      </c>
      <c r="P4">
        <f>COUNTIFS(tblGroupMatch[Away_Team_Number],tblGroupTotals[[#This Row],[Team_Number]],tblGroupMatch[Is_Complete],TRUE)</f>
        <v>0</v>
      </c>
      <c r="Q4">
        <f>SUMIFS(tblGroupMatch[Away_Points],tblGroupMatch[Away_Team_Number],tblGroupTotals[[#This Row],[Team_Number]])</f>
        <v>0</v>
      </c>
      <c r="R4">
        <f>SUMIFS(tblGroupMatch[Team B Goals],tblGroupMatch[Away_Team_Number],tblGroupTotals[[#This Row],[Team_Number]])</f>
        <v>0</v>
      </c>
      <c r="S4">
        <f>SUMIFS(tblGroupMatch[Team A Goals],tblGroupMatch[Away_Team_Number],tblGroupTotals[[#This Row],[Team_Number]])</f>
        <v>0</v>
      </c>
      <c r="T4">
        <f>COUNTIFS(tblGroupMatch[Away_Team_Number],tblGroupTotals[[#This Row],[Team_Number]],tblGroupMatch[Away_Points],3)</f>
        <v>0</v>
      </c>
      <c r="U4">
        <f>COUNTIFS(tblGroupMatch[Away_Team_Number],tblGroupTotals[[#This Row],[Team_Number]],tblGroupMatch[Away_Points],1)</f>
        <v>0</v>
      </c>
      <c r="V4">
        <f>COUNTIFS(tblGroupMatch[Away_Team_Number],tblGroupTotals[[#This Row],[Team_Number]],tblGroupMatch[Away_Points],0)</f>
        <v>0</v>
      </c>
      <c r="W4">
        <f>SUMIFS(tblGroupMatch[Team B Ycs],tblGroupMatch[Away_Team_Number],tblGroupTotals[[#This Row],[Team_Number]])</f>
        <v>0</v>
      </c>
      <c r="X4">
        <f>SUMIFS(tblGroupMatch[Team B RCs],tblGroupMatch[Away_Team_Number],tblGroupTotals[[#This Row],[Team_Number]])</f>
        <v>0</v>
      </c>
      <c r="Y4">
        <f>SUMIFS(tblGroupMatch[Team B Penalties],tblGroupMatch[Away_Team_Number],tblGroupTotals[[#This Row],[Team_Number]])</f>
        <v>0</v>
      </c>
      <c r="Z4">
        <f>SUM(tblGroupTotals[[#This Row],[Home_Games]],tblGroupTotals[[#This Row],[Away_Games]])</f>
        <v>0</v>
      </c>
      <c r="AA4" s="12">
        <f>SUM(tblGroupTotals[[#This Row],[Home_Points]],tblGroupTotals[[#This Row],[Away_Points]])</f>
        <v>0</v>
      </c>
      <c r="AB4" s="12">
        <f>tblGroupTotals[[#This Row],[Total_Goals_For]]-tblGroupTotals[[#This Row],[Total_Goals_Against]]</f>
        <v>0</v>
      </c>
      <c r="AC4" s="12">
        <f>SUM(tblGroupTotals[[#This Row],[Home_Goals_For]],tblGroupTotals[[#This Row],[Away_Goals_For]])</f>
        <v>0</v>
      </c>
      <c r="AD4" s="12">
        <f>SUM(tblGroupTotals[[#This Row],[Home_Goals_Against]],tblGroupTotals[[#This Row],[Away_Goals_Against]])</f>
        <v>0</v>
      </c>
      <c r="AE4" s="12">
        <f>SUM(tblGroupTotals[[#This Row],[Home_Wins]],tblGroupTotals[[#This Row],[Away_Wins]])</f>
        <v>0</v>
      </c>
      <c r="AF4" s="12">
        <f>SUM(tblGroupTotals[[#This Row],[Home_Draws]],tblGroupTotals[[#This Row],[Away_Draws]])</f>
        <v>0</v>
      </c>
      <c r="AG4" s="12">
        <f>SUM(tblGroupTotals[[#This Row],[Home_Loses]],tblGroupTotals[[#This Row],[Away_Loses]])</f>
        <v>0</v>
      </c>
      <c r="AH4" s="12">
        <f>SUM(tblGroupTotals[[#This Row],[Home_Yellow_Cards]],tblGroupTotals[[#This Row],[Away_Yellow_Cards]])</f>
        <v>0</v>
      </c>
      <c r="AI4" s="12">
        <f>SUM(tblGroupTotals[[#This Row],[Home_Red_Cards]],tblGroupTotals[[#This Row],[Away_Red_Cards]])</f>
        <v>0</v>
      </c>
      <c r="AJ4" s="12">
        <f>SUM(tblGroupTotals[[#This Row],[Home_Penalties]],tblGroupTotals[[#This Row],[Away_Penalties]])</f>
        <v>0</v>
      </c>
      <c r="AK4" s="12">
        <f>SUM(tblGroupTotals[[#This Row],[Total_Yellow_Cards]],tblGroupTotals[[#This Row],[Total_Red_Cards]]*3)</f>
        <v>0</v>
      </c>
      <c r="AL4" s="12">
        <f>INDEX(lkupTeam[],MATCH(tblGroupTotals[[#This Row],[Team_Code]],lkupTeam[Team_Code],0),MATCH("Qualifier_Rank",lkupTeam[#Headers],0))</f>
        <v>2</v>
      </c>
      <c r="AM4" s="12" t="str">
        <f>tblGroupTotals[[#This Row],[Group_Code]]&amp;tblGroupTotals[[#This Row],[Group_Points_Rank]]&amp;tblGroupTotals[[#This Row],[Group_Number]]</f>
        <v>A12</v>
      </c>
      <c r="AN4" s="12" cm="1">
        <f t="array" ref="AN4">SUMPRODUCT((tblGroupTotals[[#This Row],[Group_Code]]=tblGroupTotals[Group_Code])*(tblGroupTotals[[#This Row],[Total_Points]]&lt;tblGroupTotals[Total_Points]))+1</f>
        <v>1</v>
      </c>
      <c r="AO4"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4"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4" s="12" cm="1">
        <f t="array" ref="AQ4">SUMPRODUCT((tblGroupTotals[[#This Row],[Group_Code]]=tblGroupTotals[Group_Code])*(tblGroupTotals[[#This Row],[Goal_Difference]]&lt;tblGroupTotals[Goal_Difference]))+1</f>
        <v>1</v>
      </c>
      <c r="AR4" s="12" cm="1">
        <f t="array" ref="AR4">SUMPRODUCT((tblGroupTotals[[#This Row],[Group_Code]]=tblGroupTotals[Group_Code])*(tblGroupTotals[[#This Row],[Total_Goals_For]]&lt;tblGroupTotals[Total_Goals_For]))+1</f>
        <v>1</v>
      </c>
      <c r="AS4" s="12" cm="1">
        <f t="array" ref="AS4">SUMPRODUCT((tblGroupTotals[[#This Row],[Group_Code]]=tblGroupTotals[Group_Code])*(tblGroupTotals[[#This Row],[Total_Wins]]&lt;tblGroupTotals[Total_Wins]))+1</f>
        <v>1</v>
      </c>
      <c r="AT4" s="12" cm="1">
        <f t="array" ref="AT4">SUMPRODUCT((tblGroupTotals[[#This Row],[Group_Code]]=tblGroupTotals[Group_Code])*(tblGroupTotals[[#This Row],[Total_Penalties]]&lt;tblGroupTotals[Total_Penalties]))+1</f>
        <v>1</v>
      </c>
      <c r="AU4" s="12" cm="1">
        <f t="array" ref="AU4">SUMPRODUCT((tblGroupTotals[[#This Row],[Group_Code]]=tblGroupTotals[Group_Code])*(tblGroupTotals[[#This Row],[Total_Diciplinary_Points]]&gt;tblGroupTotals[Total_Diciplinary_Points]))+1</f>
        <v>1</v>
      </c>
      <c r="AV4" s="12" cm="1">
        <f t="array" ref="AV4">SUMPRODUCT((tblGroupTotals[[#This Row],[Group_Code]]=tblGroupTotals[Group_Code])*(tblGroupTotals[[#This Row],[Qualifier_Rank_Position]]&gt;tblGroupTotals[Qualifier_Rank_Position]))+1</f>
        <v>1</v>
      </c>
      <c r="AW4"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4" s="12" cm="1">
        <f t="array" aca="1" ref="AX4" ca="1">SUMPRODUCT((tblGroupTotals[[#This Row],[Group_Code]]=tblGroupTotals[Group_Code])*(tblGroupTotals[[#This Row],[Total_Group_Rank_Value]]&gt;tblGroupTotals[Total_Group_Rank_Value]))+1</f>
        <v>1</v>
      </c>
      <c r="AY4" s="12" t="str">
        <f ca="1">tblGroupTotals[[#This Row],[Group_Code]]&amp;tblGroupTotals[[#This Row],[Group_Rank]]</f>
        <v>A1</v>
      </c>
    </row>
    <row r="5" spans="2:51" x14ac:dyDescent="0.25">
      <c r="B5" t="s">
        <v>198</v>
      </c>
      <c r="C5" t="str">
        <f>LEFT(tblGroupTotals[[#This Row],[Team_Code]],1)</f>
        <v>A</v>
      </c>
      <c r="D5" t="str">
        <f>RIGHT(tblGroupTotals[[#This Row],[Team_Code]],1)</f>
        <v>3</v>
      </c>
      <c r="E5">
        <f>INDEX(lkupTeam[],MATCH(tblGroupTotals[[#This Row],[Team_Code]],lkupTeam[Team_Code],0),MATCH("Team_Number",lkupTeam[#Headers],0))</f>
        <v>3</v>
      </c>
      <c r="F5">
        <f>COUNTIFS(tblGroupMatch[Home_Team_Number],tblGroupTotals[[#This Row],[Team_Number]],tblGroupMatch[Is_Complete],TRUE)</f>
        <v>0</v>
      </c>
      <c r="G5">
        <f>SUMIFS(tblGroupMatch[Home_Points],tblGroupMatch[Home_Team_Number],tblGroupTotals[[#This Row],[Team_Number]])</f>
        <v>0</v>
      </c>
      <c r="H5">
        <f>SUMIFS(tblGroupMatch[Team A Goals],tblGroupMatch[Home_Team_Number],tblGroupTotals[[#This Row],[Team_Number]])</f>
        <v>0</v>
      </c>
      <c r="I5">
        <f>SUMIFS(tblGroupMatch[Team B Goals],tblGroupMatch[Home_Team_Number],tblGroupTotals[[#This Row],[Team_Number]])</f>
        <v>0</v>
      </c>
      <c r="J5">
        <f>COUNTIFS(tblGroupMatch[Home_Team_Number],tblGroupTotals[[#This Row],[Team_Number]],tblGroupMatch[Home_Points],3)</f>
        <v>0</v>
      </c>
      <c r="K5">
        <f>COUNTIFS(tblGroupMatch[Home_Team_Number],tblGroupTotals[[#This Row],[Team_Number]],tblGroupMatch[Home_Points],1)</f>
        <v>0</v>
      </c>
      <c r="L5">
        <f>COUNTIFS(tblGroupMatch[Home_Team_Number],tblGroupTotals[[#This Row],[Team_Number]],tblGroupMatch[Home_Points],0)</f>
        <v>0</v>
      </c>
      <c r="M5">
        <f>SUMIFS(tblGroupMatch[Team A YCs],tblGroupMatch[Home_Team_Number],tblGroupTotals[[#This Row],[Team_Number]])</f>
        <v>0</v>
      </c>
      <c r="N5">
        <f>SUMIFS(tblGroupMatch[Team A RCs],tblGroupMatch[Home_Team_Number],tblGroupTotals[[#This Row],[Team_Number]])</f>
        <v>0</v>
      </c>
      <c r="O5">
        <f>SUMIFS(tblGroupMatch[Team A Penalties],tblGroupMatch[Home_Team_Number],tblGroupTotals[[#This Row],[Team_Number]])</f>
        <v>0</v>
      </c>
      <c r="P5">
        <f>COUNTIFS(tblGroupMatch[Away_Team_Number],tblGroupTotals[[#This Row],[Team_Number]],tblGroupMatch[Is_Complete],TRUE)</f>
        <v>0</v>
      </c>
      <c r="Q5">
        <f>SUMIFS(tblGroupMatch[Away_Points],tblGroupMatch[Away_Team_Number],tblGroupTotals[[#This Row],[Team_Number]])</f>
        <v>0</v>
      </c>
      <c r="R5">
        <f>SUMIFS(tblGroupMatch[Team B Goals],tblGroupMatch[Away_Team_Number],tblGroupTotals[[#This Row],[Team_Number]])</f>
        <v>0</v>
      </c>
      <c r="S5">
        <f>SUMIFS(tblGroupMatch[Team A Goals],tblGroupMatch[Away_Team_Number],tblGroupTotals[[#This Row],[Team_Number]])</f>
        <v>0</v>
      </c>
      <c r="T5">
        <f>COUNTIFS(tblGroupMatch[Away_Team_Number],tblGroupTotals[[#This Row],[Team_Number]],tblGroupMatch[Away_Points],3)</f>
        <v>0</v>
      </c>
      <c r="U5">
        <f>COUNTIFS(tblGroupMatch[Away_Team_Number],tblGroupTotals[[#This Row],[Team_Number]],tblGroupMatch[Away_Points],1)</f>
        <v>0</v>
      </c>
      <c r="V5">
        <f>COUNTIFS(tblGroupMatch[Away_Team_Number],tblGroupTotals[[#This Row],[Team_Number]],tblGroupMatch[Away_Points],0)</f>
        <v>0</v>
      </c>
      <c r="W5">
        <f>SUMIFS(tblGroupMatch[Team B Ycs],tblGroupMatch[Away_Team_Number],tblGroupTotals[[#This Row],[Team_Number]])</f>
        <v>0</v>
      </c>
      <c r="X5">
        <f>SUMIFS(tblGroupMatch[Team B RCs],tblGroupMatch[Away_Team_Number],tblGroupTotals[[#This Row],[Team_Number]])</f>
        <v>0</v>
      </c>
      <c r="Y5">
        <f>SUMIFS(tblGroupMatch[Team B Penalties],tblGroupMatch[Away_Team_Number],tblGroupTotals[[#This Row],[Team_Number]])</f>
        <v>0</v>
      </c>
      <c r="Z5">
        <f>SUM(tblGroupTotals[[#This Row],[Home_Games]],tblGroupTotals[[#This Row],[Away_Games]])</f>
        <v>0</v>
      </c>
      <c r="AA5" s="12">
        <f>SUM(tblGroupTotals[[#This Row],[Home_Points]],tblGroupTotals[[#This Row],[Away_Points]])</f>
        <v>0</v>
      </c>
      <c r="AB5" s="12">
        <f>tblGroupTotals[[#This Row],[Total_Goals_For]]-tblGroupTotals[[#This Row],[Total_Goals_Against]]</f>
        <v>0</v>
      </c>
      <c r="AC5" s="12">
        <f>SUM(tblGroupTotals[[#This Row],[Home_Goals_For]],tblGroupTotals[[#This Row],[Away_Goals_For]])</f>
        <v>0</v>
      </c>
      <c r="AD5" s="12">
        <f>SUM(tblGroupTotals[[#This Row],[Home_Goals_Against]],tblGroupTotals[[#This Row],[Away_Goals_Against]])</f>
        <v>0</v>
      </c>
      <c r="AE5" s="12">
        <f>SUM(tblGroupTotals[[#This Row],[Home_Wins]],tblGroupTotals[[#This Row],[Away_Wins]])</f>
        <v>0</v>
      </c>
      <c r="AF5" s="12">
        <f>SUM(tblGroupTotals[[#This Row],[Home_Draws]],tblGroupTotals[[#This Row],[Away_Draws]])</f>
        <v>0</v>
      </c>
      <c r="AG5" s="12">
        <f>SUM(tblGroupTotals[[#This Row],[Home_Loses]],tblGroupTotals[[#This Row],[Away_Loses]])</f>
        <v>0</v>
      </c>
      <c r="AH5" s="12">
        <f>SUM(tblGroupTotals[[#This Row],[Home_Yellow_Cards]],tblGroupTotals[[#This Row],[Away_Yellow_Cards]])</f>
        <v>0</v>
      </c>
      <c r="AI5" s="12">
        <f>SUM(tblGroupTotals[[#This Row],[Home_Red_Cards]],tblGroupTotals[[#This Row],[Away_Red_Cards]])</f>
        <v>0</v>
      </c>
      <c r="AJ5" s="12">
        <f>SUM(tblGroupTotals[[#This Row],[Home_Penalties]],tblGroupTotals[[#This Row],[Away_Penalties]])</f>
        <v>0</v>
      </c>
      <c r="AK5" s="12">
        <f>SUM(tblGroupTotals[[#This Row],[Total_Yellow_Cards]],tblGroupTotals[[#This Row],[Total_Red_Cards]]*3)</f>
        <v>0</v>
      </c>
      <c r="AL5" s="12">
        <f>INDEX(lkupTeam[],MATCH(tblGroupTotals[[#This Row],[Team_Code]],lkupTeam[Team_Code],0),MATCH("Qualifier_Rank",lkupTeam[#Headers],0))</f>
        <v>19</v>
      </c>
      <c r="AM5" s="12" t="str">
        <f>tblGroupTotals[[#This Row],[Group_Code]]&amp;tblGroupTotals[[#This Row],[Group_Points_Rank]]&amp;tblGroupTotals[[#This Row],[Group_Number]]</f>
        <v>A13</v>
      </c>
      <c r="AN5" s="12" cm="1">
        <f t="array" ref="AN5">SUMPRODUCT((tblGroupTotals[[#This Row],[Group_Code]]=tblGroupTotals[Group_Code])*(tblGroupTotals[[#This Row],[Total_Points]]&lt;tblGroupTotals[Total_Points]))+1</f>
        <v>1</v>
      </c>
      <c r="AO5"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5"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5" s="12" cm="1">
        <f t="array" ref="AQ5">SUMPRODUCT((tblGroupTotals[[#This Row],[Group_Code]]=tblGroupTotals[Group_Code])*(tblGroupTotals[[#This Row],[Goal_Difference]]&lt;tblGroupTotals[Goal_Difference]))+1</f>
        <v>1</v>
      </c>
      <c r="AR5" s="12" cm="1">
        <f t="array" ref="AR5">SUMPRODUCT((tblGroupTotals[[#This Row],[Group_Code]]=tblGroupTotals[Group_Code])*(tblGroupTotals[[#This Row],[Total_Goals_For]]&lt;tblGroupTotals[Total_Goals_For]))+1</f>
        <v>1</v>
      </c>
      <c r="AS5" s="12" cm="1">
        <f t="array" ref="AS5">SUMPRODUCT((tblGroupTotals[[#This Row],[Group_Code]]=tblGroupTotals[Group_Code])*(tblGroupTotals[[#This Row],[Total_Wins]]&lt;tblGroupTotals[Total_Wins]))+1</f>
        <v>1</v>
      </c>
      <c r="AT5" s="12" cm="1">
        <f t="array" ref="AT5">SUMPRODUCT((tblGroupTotals[[#This Row],[Group_Code]]=tblGroupTotals[Group_Code])*(tblGroupTotals[[#This Row],[Total_Penalties]]&lt;tblGroupTotals[Total_Penalties]))+1</f>
        <v>1</v>
      </c>
      <c r="AU5" s="12" cm="1">
        <f t="array" ref="AU5">SUMPRODUCT((tblGroupTotals[[#This Row],[Group_Code]]=tblGroupTotals[Group_Code])*(tblGroupTotals[[#This Row],[Total_Diciplinary_Points]]&gt;tblGroupTotals[Total_Diciplinary_Points]))+1</f>
        <v>1</v>
      </c>
      <c r="AV5" s="12" cm="1">
        <f t="array" ref="AV5">SUMPRODUCT((tblGroupTotals[[#This Row],[Group_Code]]=tblGroupTotals[Group_Code])*(tblGroupTotals[[#This Row],[Qualifier_Rank_Position]]&gt;tblGroupTotals[Qualifier_Rank_Position]))+1</f>
        <v>4</v>
      </c>
      <c r="AW5"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5" s="12" cm="1">
        <f t="array" aca="1" ref="AX5" ca="1">SUMPRODUCT((tblGroupTotals[[#This Row],[Group_Code]]=tblGroupTotals[Group_Code])*(tblGroupTotals[[#This Row],[Total_Group_Rank_Value]]&gt;tblGroupTotals[Total_Group_Rank_Value]))+1</f>
        <v>4</v>
      </c>
      <c r="AY5" s="12" t="str">
        <f ca="1">tblGroupTotals[[#This Row],[Group_Code]]&amp;tblGroupTotals[[#This Row],[Group_Rank]]</f>
        <v>A4</v>
      </c>
    </row>
    <row r="6" spans="2:51" x14ac:dyDescent="0.25">
      <c r="B6" t="s">
        <v>199</v>
      </c>
      <c r="C6" t="str">
        <f>LEFT(tblGroupTotals[[#This Row],[Team_Code]],1)</f>
        <v>A</v>
      </c>
      <c r="D6" t="str">
        <f>RIGHT(tblGroupTotals[[#This Row],[Team_Code]],1)</f>
        <v>4</v>
      </c>
      <c r="E6">
        <f>INDEX(lkupTeam[],MATCH(tblGroupTotals[[#This Row],[Team_Code]],lkupTeam[Team_Code],0),MATCH("Team_Number",lkupTeam[#Headers],0))</f>
        <v>4</v>
      </c>
      <c r="F6">
        <f>COUNTIFS(tblGroupMatch[Home_Team_Number],tblGroupTotals[[#This Row],[Team_Number]],tblGroupMatch[Is_Complete],TRUE)</f>
        <v>0</v>
      </c>
      <c r="G6">
        <f>SUMIFS(tblGroupMatch[Home_Points],tblGroupMatch[Home_Team_Number],tblGroupTotals[[#This Row],[Team_Number]])</f>
        <v>0</v>
      </c>
      <c r="H6">
        <f>SUMIFS(tblGroupMatch[Team A Goals],tblGroupMatch[Home_Team_Number],tblGroupTotals[[#This Row],[Team_Number]])</f>
        <v>0</v>
      </c>
      <c r="I6">
        <f>SUMIFS(tblGroupMatch[Team B Goals],tblGroupMatch[Home_Team_Number],tblGroupTotals[[#This Row],[Team_Number]])</f>
        <v>0</v>
      </c>
      <c r="J6">
        <f>COUNTIFS(tblGroupMatch[Home_Team_Number],tblGroupTotals[[#This Row],[Team_Number]],tblGroupMatch[Home_Points],3)</f>
        <v>0</v>
      </c>
      <c r="K6">
        <f>COUNTIFS(tblGroupMatch[Home_Team_Number],tblGroupTotals[[#This Row],[Team_Number]],tblGroupMatch[Home_Points],1)</f>
        <v>0</v>
      </c>
      <c r="L6">
        <f>COUNTIFS(tblGroupMatch[Home_Team_Number],tblGroupTotals[[#This Row],[Team_Number]],tblGroupMatch[Home_Points],0)</f>
        <v>0</v>
      </c>
      <c r="M6">
        <f>SUMIFS(tblGroupMatch[Team A YCs],tblGroupMatch[Home_Team_Number],tblGroupTotals[[#This Row],[Team_Number]])</f>
        <v>0</v>
      </c>
      <c r="N6">
        <f>SUMIFS(tblGroupMatch[Team A RCs],tblGroupMatch[Home_Team_Number],tblGroupTotals[[#This Row],[Team_Number]])</f>
        <v>0</v>
      </c>
      <c r="O6">
        <f>SUMIFS(tblGroupMatch[Team A Penalties],tblGroupMatch[Home_Team_Number],tblGroupTotals[[#This Row],[Team_Number]])</f>
        <v>0</v>
      </c>
      <c r="P6">
        <f>COUNTIFS(tblGroupMatch[Away_Team_Number],tblGroupTotals[[#This Row],[Team_Number]],tblGroupMatch[Is_Complete],TRUE)</f>
        <v>0</v>
      </c>
      <c r="Q6">
        <f>SUMIFS(tblGroupMatch[Away_Points],tblGroupMatch[Away_Team_Number],tblGroupTotals[[#This Row],[Team_Number]])</f>
        <v>0</v>
      </c>
      <c r="R6">
        <f>SUMIFS(tblGroupMatch[Team B Goals],tblGroupMatch[Away_Team_Number],tblGroupTotals[[#This Row],[Team_Number]])</f>
        <v>0</v>
      </c>
      <c r="S6">
        <f>SUMIFS(tblGroupMatch[Team A Goals],tblGroupMatch[Away_Team_Number],tblGroupTotals[[#This Row],[Team_Number]])</f>
        <v>0</v>
      </c>
      <c r="T6">
        <f>COUNTIFS(tblGroupMatch[Away_Team_Number],tblGroupTotals[[#This Row],[Team_Number]],tblGroupMatch[Away_Points],3)</f>
        <v>0</v>
      </c>
      <c r="U6">
        <f>COUNTIFS(tblGroupMatch[Away_Team_Number],tblGroupTotals[[#This Row],[Team_Number]],tblGroupMatch[Away_Points],1)</f>
        <v>0</v>
      </c>
      <c r="V6">
        <f>COUNTIFS(tblGroupMatch[Away_Team_Number],tblGroupTotals[[#This Row],[Team_Number]],tblGroupMatch[Away_Points],0)</f>
        <v>0</v>
      </c>
      <c r="W6">
        <f>SUMIFS(tblGroupMatch[Team B Ycs],tblGroupMatch[Away_Team_Number],tblGroupTotals[[#This Row],[Team_Number]])</f>
        <v>0</v>
      </c>
      <c r="X6">
        <f>SUMIFS(tblGroupMatch[Team B RCs],tblGroupMatch[Away_Team_Number],tblGroupTotals[[#This Row],[Team_Number]])</f>
        <v>0</v>
      </c>
      <c r="Y6">
        <f>SUMIFS(tblGroupMatch[Team B Penalties],tblGroupMatch[Away_Team_Number],tblGroupTotals[[#This Row],[Team_Number]])</f>
        <v>0</v>
      </c>
      <c r="Z6">
        <f>SUM(tblGroupTotals[[#This Row],[Home_Games]],tblGroupTotals[[#This Row],[Away_Games]])</f>
        <v>0</v>
      </c>
      <c r="AA6" s="12">
        <f>SUM(tblGroupTotals[[#This Row],[Home_Points]],tblGroupTotals[[#This Row],[Away_Points]])</f>
        <v>0</v>
      </c>
      <c r="AB6" s="12">
        <f>tblGroupTotals[[#This Row],[Total_Goals_For]]-tblGroupTotals[[#This Row],[Total_Goals_Against]]</f>
        <v>0</v>
      </c>
      <c r="AC6" s="12">
        <f>SUM(tblGroupTotals[[#This Row],[Home_Goals_For]],tblGroupTotals[[#This Row],[Away_Goals_For]])</f>
        <v>0</v>
      </c>
      <c r="AD6" s="12">
        <f>SUM(tblGroupTotals[[#This Row],[Home_Goals_Against]],tblGroupTotals[[#This Row],[Away_Goals_Against]])</f>
        <v>0</v>
      </c>
      <c r="AE6" s="12">
        <f>SUM(tblGroupTotals[[#This Row],[Home_Wins]],tblGroupTotals[[#This Row],[Away_Wins]])</f>
        <v>0</v>
      </c>
      <c r="AF6" s="12">
        <f>SUM(tblGroupTotals[[#This Row],[Home_Draws]],tblGroupTotals[[#This Row],[Away_Draws]])</f>
        <v>0</v>
      </c>
      <c r="AG6" s="12">
        <f>SUM(tblGroupTotals[[#This Row],[Home_Loses]],tblGroupTotals[[#This Row],[Away_Loses]])</f>
        <v>0</v>
      </c>
      <c r="AH6" s="12">
        <f>SUM(tblGroupTotals[[#This Row],[Home_Yellow_Cards]],tblGroupTotals[[#This Row],[Away_Yellow_Cards]])</f>
        <v>0</v>
      </c>
      <c r="AI6" s="12">
        <f>SUM(tblGroupTotals[[#This Row],[Home_Red_Cards]],tblGroupTotals[[#This Row],[Away_Red_Cards]])</f>
        <v>0</v>
      </c>
      <c r="AJ6" s="12">
        <f>SUM(tblGroupTotals[[#This Row],[Home_Penalties]],tblGroupTotals[[#This Row],[Away_Penalties]])</f>
        <v>0</v>
      </c>
      <c r="AK6" s="12">
        <f>SUM(tblGroupTotals[[#This Row],[Total_Yellow_Cards]],tblGroupTotals[[#This Row],[Total_Red_Cards]]*3)</f>
        <v>0</v>
      </c>
      <c r="AL6" s="12">
        <f>INDEX(lkupTeam[],MATCH(tblGroupTotals[[#This Row],[Team_Code]],lkupTeam[Team_Code],0),MATCH("Qualifier_Rank",lkupTeam[#Headers],0))</f>
        <v>9</v>
      </c>
      <c r="AM6" s="12" t="str">
        <f>tblGroupTotals[[#This Row],[Group_Code]]&amp;tblGroupTotals[[#This Row],[Group_Points_Rank]]&amp;tblGroupTotals[[#This Row],[Group_Number]]</f>
        <v>A14</v>
      </c>
      <c r="AN6" s="12" cm="1">
        <f t="array" ref="AN6">SUMPRODUCT((tblGroupTotals[[#This Row],[Group_Code]]=tblGroupTotals[Group_Code])*(tblGroupTotals[[#This Row],[Total_Points]]&lt;tblGroupTotals[Total_Points]))+1</f>
        <v>1</v>
      </c>
      <c r="AO6"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6"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6" s="12" cm="1">
        <f t="array" ref="AQ6">SUMPRODUCT((tblGroupTotals[[#This Row],[Group_Code]]=tblGroupTotals[Group_Code])*(tblGroupTotals[[#This Row],[Goal_Difference]]&lt;tblGroupTotals[Goal_Difference]))+1</f>
        <v>1</v>
      </c>
      <c r="AR6" s="12" cm="1">
        <f t="array" ref="AR6">SUMPRODUCT((tblGroupTotals[[#This Row],[Group_Code]]=tblGroupTotals[Group_Code])*(tblGroupTotals[[#This Row],[Total_Goals_For]]&lt;tblGroupTotals[Total_Goals_For]))+1</f>
        <v>1</v>
      </c>
      <c r="AS6" s="12" cm="1">
        <f t="array" ref="AS6">SUMPRODUCT((tblGroupTotals[[#This Row],[Group_Code]]=tblGroupTotals[Group_Code])*(tblGroupTotals[[#This Row],[Total_Wins]]&lt;tblGroupTotals[Total_Wins]))+1</f>
        <v>1</v>
      </c>
      <c r="AT6" s="12" cm="1">
        <f t="array" ref="AT6">SUMPRODUCT((tblGroupTotals[[#This Row],[Group_Code]]=tblGroupTotals[Group_Code])*(tblGroupTotals[[#This Row],[Total_Penalties]]&lt;tblGroupTotals[Total_Penalties]))+1</f>
        <v>1</v>
      </c>
      <c r="AU6" s="12" cm="1">
        <f t="array" ref="AU6">SUMPRODUCT((tblGroupTotals[[#This Row],[Group_Code]]=tblGroupTotals[Group_Code])*(tblGroupTotals[[#This Row],[Total_Diciplinary_Points]]&gt;tblGroupTotals[Total_Diciplinary_Points]))+1</f>
        <v>1</v>
      </c>
      <c r="AV6" s="12" cm="1">
        <f t="array" ref="AV6">SUMPRODUCT((tblGroupTotals[[#This Row],[Group_Code]]=tblGroupTotals[Group_Code])*(tblGroupTotals[[#This Row],[Qualifier_Rank_Position]]&gt;tblGroupTotals[Qualifier_Rank_Position]))+1</f>
        <v>2</v>
      </c>
      <c r="AW6"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6" s="12" cm="1">
        <f t="array" aca="1" ref="AX6" ca="1">SUMPRODUCT((tblGroupTotals[[#This Row],[Group_Code]]=tblGroupTotals[Group_Code])*(tblGroupTotals[[#This Row],[Total_Group_Rank_Value]]&gt;tblGroupTotals[Total_Group_Rank_Value]))+1</f>
        <v>2</v>
      </c>
      <c r="AY6" s="12" t="str">
        <f ca="1">tblGroupTotals[[#This Row],[Group_Code]]&amp;tblGroupTotals[[#This Row],[Group_Rank]]</f>
        <v>A2</v>
      </c>
    </row>
    <row r="7" spans="2:51" x14ac:dyDescent="0.25">
      <c r="B7" t="s">
        <v>219</v>
      </c>
      <c r="C7" s="12" t="str">
        <f>LEFT(tblGroupTotals[[#This Row],[Team_Code]],1)</f>
        <v>B</v>
      </c>
      <c r="D7" s="12" t="str">
        <f>RIGHT(tblGroupTotals[[#This Row],[Team_Code]],1)</f>
        <v>1</v>
      </c>
      <c r="E7" s="12">
        <f>INDEX(lkupTeam[],MATCH(tblGroupTotals[[#This Row],[Team_Code]],lkupTeam[Team_Code],0),MATCH("Team_Number",lkupTeam[#Headers],0))</f>
        <v>5</v>
      </c>
      <c r="F7">
        <f>COUNTIFS(tblGroupMatch[Home_Team_Number],tblGroupTotals[[#This Row],[Team_Number]],tblGroupMatch[Is_Complete],TRUE)</f>
        <v>0</v>
      </c>
      <c r="G7" s="12">
        <f>SUMIFS(tblGroupMatch[Home_Points],tblGroupMatch[Home_Team_Number],tblGroupTotals[[#This Row],[Team_Number]])</f>
        <v>0</v>
      </c>
      <c r="H7" s="12">
        <f>SUMIFS(tblGroupMatch[Team A Goals],tblGroupMatch[Home_Team_Number],tblGroupTotals[[#This Row],[Team_Number]])</f>
        <v>0</v>
      </c>
      <c r="I7" s="12">
        <f>SUMIFS(tblGroupMatch[Team B Goals],tblGroupMatch[Home_Team_Number],tblGroupTotals[[#This Row],[Team_Number]])</f>
        <v>0</v>
      </c>
      <c r="J7">
        <f>COUNTIFS(tblGroupMatch[Home_Team_Number],tblGroupTotals[[#This Row],[Team_Number]],tblGroupMatch[Home_Points],3)</f>
        <v>0</v>
      </c>
      <c r="K7">
        <f>COUNTIFS(tblGroupMatch[Home_Team_Number],tblGroupTotals[[#This Row],[Team_Number]],tblGroupMatch[Home_Points],1)</f>
        <v>0</v>
      </c>
      <c r="L7">
        <f>COUNTIFS(tblGroupMatch[Home_Team_Number],tblGroupTotals[[#This Row],[Team_Number]],tblGroupMatch[Home_Points],0)</f>
        <v>0</v>
      </c>
      <c r="M7" s="12">
        <f>SUMIFS(tblGroupMatch[Team A YCs],tblGroupMatch[Home_Team_Number],tblGroupTotals[[#This Row],[Team_Number]])</f>
        <v>0</v>
      </c>
      <c r="N7" s="12">
        <f>SUMIFS(tblGroupMatch[Team A RCs],tblGroupMatch[Home_Team_Number],tblGroupTotals[[#This Row],[Team_Number]])</f>
        <v>0</v>
      </c>
      <c r="O7" s="12">
        <f>SUMIFS(tblGroupMatch[Team A Penalties],tblGroupMatch[Home_Team_Number],tblGroupTotals[[#This Row],[Team_Number]])</f>
        <v>0</v>
      </c>
      <c r="P7">
        <f>COUNTIFS(tblGroupMatch[Away_Team_Number],tblGroupTotals[[#This Row],[Team_Number]],tblGroupMatch[Is_Complete],TRUE)</f>
        <v>0</v>
      </c>
      <c r="Q7" s="12">
        <f>SUMIFS(tblGroupMatch[Away_Points],tblGroupMatch[Away_Team_Number],tblGroupTotals[[#This Row],[Team_Number]])</f>
        <v>0</v>
      </c>
      <c r="R7" s="12">
        <f>SUMIFS(tblGroupMatch[Team B Goals],tblGroupMatch[Away_Team_Number],tblGroupTotals[[#This Row],[Team_Number]])</f>
        <v>0</v>
      </c>
      <c r="S7" s="12">
        <f>SUMIFS(tblGroupMatch[Team A Goals],tblGroupMatch[Away_Team_Number],tblGroupTotals[[#This Row],[Team_Number]])</f>
        <v>0</v>
      </c>
      <c r="T7">
        <f>COUNTIFS(tblGroupMatch[Away_Team_Number],tblGroupTotals[[#This Row],[Team_Number]],tblGroupMatch[Away_Points],3)</f>
        <v>0</v>
      </c>
      <c r="U7">
        <f>COUNTIFS(tblGroupMatch[Away_Team_Number],tblGroupTotals[[#This Row],[Team_Number]],tblGroupMatch[Away_Points],1)</f>
        <v>0</v>
      </c>
      <c r="V7">
        <f>COUNTIFS(tblGroupMatch[Away_Team_Number],tblGroupTotals[[#This Row],[Team_Number]],tblGroupMatch[Away_Points],0)</f>
        <v>0</v>
      </c>
      <c r="W7" s="12">
        <f>SUMIFS(tblGroupMatch[Team B Ycs],tblGroupMatch[Away_Team_Number],tblGroupTotals[[#This Row],[Team_Number]])</f>
        <v>0</v>
      </c>
      <c r="X7" s="12">
        <f>SUMIFS(tblGroupMatch[Team B RCs],tblGroupMatch[Away_Team_Number],tblGroupTotals[[#This Row],[Team_Number]])</f>
        <v>0</v>
      </c>
      <c r="Y7" s="12">
        <f>SUMIFS(tblGroupMatch[Team B Penalties],tblGroupMatch[Away_Team_Number],tblGroupTotals[[#This Row],[Team_Number]])</f>
        <v>0</v>
      </c>
      <c r="Z7">
        <f>SUM(tblGroupTotals[[#This Row],[Home_Games]],tblGroupTotals[[#This Row],[Away_Games]])</f>
        <v>0</v>
      </c>
      <c r="AA7" s="12">
        <f>SUM(tblGroupTotals[[#This Row],[Home_Points]],tblGroupTotals[[#This Row],[Away_Points]])</f>
        <v>0</v>
      </c>
      <c r="AB7" s="12">
        <f>tblGroupTotals[[#This Row],[Total_Goals_For]]-tblGroupTotals[[#This Row],[Total_Goals_Against]]</f>
        <v>0</v>
      </c>
      <c r="AC7" s="12">
        <f>SUM(tblGroupTotals[[#This Row],[Home_Goals_For]],tblGroupTotals[[#This Row],[Away_Goals_For]])</f>
        <v>0</v>
      </c>
      <c r="AD7" s="12">
        <f>SUM(tblGroupTotals[[#This Row],[Home_Goals_Against]],tblGroupTotals[[#This Row],[Away_Goals_Against]])</f>
        <v>0</v>
      </c>
      <c r="AE7" s="12">
        <f>SUM(tblGroupTotals[[#This Row],[Home_Wins]],tblGroupTotals[[#This Row],[Away_Wins]])</f>
        <v>0</v>
      </c>
      <c r="AF7" s="12">
        <f>SUM(tblGroupTotals[[#This Row],[Home_Draws]],tblGroupTotals[[#This Row],[Away_Draws]])</f>
        <v>0</v>
      </c>
      <c r="AG7" s="12">
        <f>SUM(tblGroupTotals[[#This Row],[Home_Loses]],tblGroupTotals[[#This Row],[Away_Loses]])</f>
        <v>0</v>
      </c>
      <c r="AH7" s="12">
        <f>SUM(tblGroupTotals[[#This Row],[Home_Yellow_Cards]],tblGroupTotals[[#This Row],[Away_Yellow_Cards]])</f>
        <v>0</v>
      </c>
      <c r="AI7" s="12">
        <f>SUM(tblGroupTotals[[#This Row],[Home_Red_Cards]],tblGroupTotals[[#This Row],[Away_Red_Cards]])</f>
        <v>0</v>
      </c>
      <c r="AJ7" s="12">
        <f>SUM(tblGroupTotals[[#This Row],[Home_Penalties]],tblGroupTotals[[#This Row],[Away_Penalties]])</f>
        <v>0</v>
      </c>
      <c r="AK7" s="12">
        <f>SUM(tblGroupTotals[[#This Row],[Total_Yellow_Cards]],tblGroupTotals[[#This Row],[Total_Red_Cards]]*3)</f>
        <v>0</v>
      </c>
      <c r="AL7" s="12">
        <f>INDEX(lkupTeam[],MATCH(tblGroupTotals[[#This Row],[Team_Code]],lkupTeam[Team_Code],0),MATCH("Qualifier_Rank",lkupTeam[#Headers],0))</f>
        <v>15</v>
      </c>
      <c r="AM7" s="12" t="str">
        <f>tblGroupTotals[[#This Row],[Group_Code]]&amp;tblGroupTotals[[#This Row],[Group_Points_Rank]]&amp;tblGroupTotals[[#This Row],[Group_Number]]</f>
        <v>B11</v>
      </c>
      <c r="AN7" s="12" cm="1">
        <f t="array" ref="AN7">SUMPRODUCT((tblGroupTotals[[#This Row],[Group_Code]]=tblGroupTotals[Group_Code])*(tblGroupTotals[[#This Row],[Total_Points]]&lt;tblGroupTotals[Total_Points]))+1</f>
        <v>1</v>
      </c>
      <c r="AO7"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7"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7" s="12" cm="1">
        <f t="array" ref="AQ7">SUMPRODUCT((tblGroupTotals[[#This Row],[Group_Code]]=tblGroupTotals[Group_Code])*(tblGroupTotals[[#This Row],[Goal_Difference]]&lt;tblGroupTotals[Goal_Difference]))+1</f>
        <v>1</v>
      </c>
      <c r="AR7" s="12" cm="1">
        <f t="array" ref="AR7">SUMPRODUCT((tblGroupTotals[[#This Row],[Group_Code]]=tblGroupTotals[Group_Code])*(tblGroupTotals[[#This Row],[Total_Goals_For]]&lt;tblGroupTotals[Total_Goals_For]))+1</f>
        <v>1</v>
      </c>
      <c r="AS7" s="12" cm="1">
        <f t="array" ref="AS7">SUMPRODUCT((tblGroupTotals[[#This Row],[Group_Code]]=tblGroupTotals[Group_Code])*(tblGroupTotals[[#This Row],[Total_Wins]]&lt;tblGroupTotals[Total_Wins]))+1</f>
        <v>1</v>
      </c>
      <c r="AT7" s="12" cm="1">
        <f t="array" ref="AT7">SUMPRODUCT((tblGroupTotals[[#This Row],[Group_Code]]=tblGroupTotals[Group_Code])*(tblGroupTotals[[#This Row],[Total_Penalties]]&lt;tblGroupTotals[Total_Penalties]))+1</f>
        <v>1</v>
      </c>
      <c r="AU7" s="12" cm="1">
        <f t="array" ref="AU7">SUMPRODUCT((tblGroupTotals[[#This Row],[Group_Code]]=tblGroupTotals[Group_Code])*(tblGroupTotals[[#This Row],[Total_Diciplinary_Points]]&gt;tblGroupTotals[Total_Diciplinary_Points]))+1</f>
        <v>1</v>
      </c>
      <c r="AV7" s="12" cm="1">
        <f t="array" ref="AV7">SUMPRODUCT((tblGroupTotals[[#This Row],[Group_Code]]=tblGroupTotals[Group_Code])*(tblGroupTotals[[#This Row],[Qualifier_Rank_Position]]&gt;tblGroupTotals[Qualifier_Rank_Position]))+1</f>
        <v>3</v>
      </c>
      <c r="AW7"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7" s="12" cm="1">
        <f t="array" aca="1" ref="AX7" ca="1">SUMPRODUCT((tblGroupTotals[[#This Row],[Group_Code]]=tblGroupTotals[Group_Code])*(tblGroupTotals[[#This Row],[Total_Group_Rank_Value]]&gt;tblGroupTotals[Total_Group_Rank_Value]))+1</f>
        <v>3</v>
      </c>
      <c r="AY7" s="12" t="str">
        <f ca="1">tblGroupTotals[[#This Row],[Group_Code]]&amp;tblGroupTotals[[#This Row],[Group_Rank]]</f>
        <v>B3</v>
      </c>
    </row>
    <row r="8" spans="2:51" x14ac:dyDescent="0.25">
      <c r="B8" t="s">
        <v>220</v>
      </c>
      <c r="C8" s="12" t="str">
        <f>LEFT(tblGroupTotals[[#This Row],[Team_Code]],1)</f>
        <v>B</v>
      </c>
      <c r="D8" s="12" t="str">
        <f>RIGHT(tblGroupTotals[[#This Row],[Team_Code]],1)</f>
        <v>2</v>
      </c>
      <c r="E8" s="12">
        <f>INDEX(lkupTeam[],MATCH(tblGroupTotals[[#This Row],[Team_Code]],lkupTeam[Team_Code],0),MATCH("Team_Number",lkupTeam[#Headers],0))</f>
        <v>6</v>
      </c>
      <c r="F8">
        <f>COUNTIFS(tblGroupMatch[Home_Team_Number],tblGroupTotals[[#This Row],[Team_Number]],tblGroupMatch[Is_Complete],TRUE)</f>
        <v>0</v>
      </c>
      <c r="G8" s="12">
        <f>SUMIFS(tblGroupMatch[Home_Points],tblGroupMatch[Home_Team_Number],tblGroupTotals[[#This Row],[Team_Number]])</f>
        <v>0</v>
      </c>
      <c r="H8" s="12">
        <f>SUMIFS(tblGroupMatch[Team A Goals],tblGroupMatch[Home_Team_Number],tblGroupTotals[[#This Row],[Team_Number]])</f>
        <v>0</v>
      </c>
      <c r="I8" s="12">
        <f>SUMIFS(tblGroupMatch[Team B Goals],tblGroupMatch[Home_Team_Number],tblGroupTotals[[#This Row],[Team_Number]])</f>
        <v>0</v>
      </c>
      <c r="J8">
        <f>COUNTIFS(tblGroupMatch[Home_Team_Number],tblGroupTotals[[#This Row],[Team_Number]],tblGroupMatch[Home_Points],3)</f>
        <v>0</v>
      </c>
      <c r="K8">
        <f>COUNTIFS(tblGroupMatch[Home_Team_Number],tblGroupTotals[[#This Row],[Team_Number]],tblGroupMatch[Home_Points],1)</f>
        <v>0</v>
      </c>
      <c r="L8">
        <f>COUNTIFS(tblGroupMatch[Home_Team_Number],tblGroupTotals[[#This Row],[Team_Number]],tblGroupMatch[Home_Points],0)</f>
        <v>0</v>
      </c>
      <c r="M8" s="12">
        <f>SUMIFS(tblGroupMatch[Team A YCs],tblGroupMatch[Home_Team_Number],tblGroupTotals[[#This Row],[Team_Number]])</f>
        <v>0</v>
      </c>
      <c r="N8" s="12">
        <f>SUMIFS(tblGroupMatch[Team A RCs],tblGroupMatch[Home_Team_Number],tblGroupTotals[[#This Row],[Team_Number]])</f>
        <v>0</v>
      </c>
      <c r="O8" s="12">
        <f>SUMIFS(tblGroupMatch[Team A Penalties],tblGroupMatch[Home_Team_Number],tblGroupTotals[[#This Row],[Team_Number]])</f>
        <v>0</v>
      </c>
      <c r="P8">
        <f>COUNTIFS(tblGroupMatch[Away_Team_Number],tblGroupTotals[[#This Row],[Team_Number]],tblGroupMatch[Is_Complete],TRUE)</f>
        <v>0</v>
      </c>
      <c r="Q8" s="12">
        <f>SUMIFS(tblGroupMatch[Away_Points],tblGroupMatch[Away_Team_Number],tblGroupTotals[[#This Row],[Team_Number]])</f>
        <v>0</v>
      </c>
      <c r="R8" s="12">
        <f>SUMIFS(tblGroupMatch[Team B Goals],tblGroupMatch[Away_Team_Number],tblGroupTotals[[#This Row],[Team_Number]])</f>
        <v>0</v>
      </c>
      <c r="S8" s="12">
        <f>SUMIFS(tblGroupMatch[Team A Goals],tblGroupMatch[Away_Team_Number],tblGroupTotals[[#This Row],[Team_Number]])</f>
        <v>0</v>
      </c>
      <c r="T8">
        <f>COUNTIFS(tblGroupMatch[Away_Team_Number],tblGroupTotals[[#This Row],[Team_Number]],tblGroupMatch[Away_Points],3)</f>
        <v>0</v>
      </c>
      <c r="U8">
        <f>COUNTIFS(tblGroupMatch[Away_Team_Number],tblGroupTotals[[#This Row],[Team_Number]],tblGroupMatch[Away_Points],1)</f>
        <v>0</v>
      </c>
      <c r="V8">
        <f>COUNTIFS(tblGroupMatch[Away_Team_Number],tblGroupTotals[[#This Row],[Team_Number]],tblGroupMatch[Away_Points],0)</f>
        <v>0</v>
      </c>
      <c r="W8" s="12">
        <f>SUMIFS(tblGroupMatch[Team B Ycs],tblGroupMatch[Away_Team_Number],tblGroupTotals[[#This Row],[Team_Number]])</f>
        <v>0</v>
      </c>
      <c r="X8" s="12">
        <f>SUMIFS(tblGroupMatch[Team B RCs],tblGroupMatch[Away_Team_Number],tblGroupTotals[[#This Row],[Team_Number]])</f>
        <v>0</v>
      </c>
      <c r="Y8" s="12">
        <f>SUMIFS(tblGroupMatch[Team B Penalties],tblGroupMatch[Away_Team_Number],tblGroupTotals[[#This Row],[Team_Number]])</f>
        <v>0</v>
      </c>
      <c r="Z8">
        <f>SUM(tblGroupTotals[[#This Row],[Home_Games]],tblGroupTotals[[#This Row],[Away_Games]])</f>
        <v>0</v>
      </c>
      <c r="AA8" s="12">
        <f>SUM(tblGroupTotals[[#This Row],[Home_Points]],tblGroupTotals[[#This Row],[Away_Points]])</f>
        <v>0</v>
      </c>
      <c r="AB8" s="12">
        <f>tblGroupTotals[[#This Row],[Total_Goals_For]]-tblGroupTotals[[#This Row],[Total_Goals_Against]]</f>
        <v>0</v>
      </c>
      <c r="AC8" s="12">
        <f>SUM(tblGroupTotals[[#This Row],[Home_Goals_For]],tblGroupTotals[[#This Row],[Away_Goals_For]])</f>
        <v>0</v>
      </c>
      <c r="AD8" s="12">
        <f>SUM(tblGroupTotals[[#This Row],[Home_Goals_Against]],tblGroupTotals[[#This Row],[Away_Goals_Against]])</f>
        <v>0</v>
      </c>
      <c r="AE8" s="12">
        <f>SUM(tblGroupTotals[[#This Row],[Home_Wins]],tblGroupTotals[[#This Row],[Away_Wins]])</f>
        <v>0</v>
      </c>
      <c r="AF8" s="12">
        <f>SUM(tblGroupTotals[[#This Row],[Home_Draws]],tblGroupTotals[[#This Row],[Away_Draws]])</f>
        <v>0</v>
      </c>
      <c r="AG8" s="12">
        <f>SUM(tblGroupTotals[[#This Row],[Home_Loses]],tblGroupTotals[[#This Row],[Away_Loses]])</f>
        <v>0</v>
      </c>
      <c r="AH8" s="12">
        <f>SUM(tblGroupTotals[[#This Row],[Home_Yellow_Cards]],tblGroupTotals[[#This Row],[Away_Yellow_Cards]])</f>
        <v>0</v>
      </c>
      <c r="AI8" s="12">
        <f>SUM(tblGroupTotals[[#This Row],[Home_Red_Cards]],tblGroupTotals[[#This Row],[Away_Red_Cards]])</f>
        <v>0</v>
      </c>
      <c r="AJ8" s="12">
        <f>SUM(tblGroupTotals[[#This Row],[Home_Penalties]],tblGroupTotals[[#This Row],[Away_Penalties]])</f>
        <v>0</v>
      </c>
      <c r="AK8" s="12">
        <f>SUM(tblGroupTotals[[#This Row],[Total_Yellow_Cards]],tblGroupTotals[[#This Row],[Total_Red_Cards]]*3)</f>
        <v>0</v>
      </c>
      <c r="AL8" s="12">
        <f>INDEX(lkupTeam[],MATCH(tblGroupTotals[[#This Row],[Team_Code]],lkupTeam[Team_Code],0),MATCH("Qualifier_Rank",lkupTeam[#Headers],0))</f>
        <v>20</v>
      </c>
      <c r="AM8" s="12" t="str">
        <f>tblGroupTotals[[#This Row],[Group_Code]]&amp;tblGroupTotals[[#This Row],[Group_Points_Rank]]&amp;tblGroupTotals[[#This Row],[Group_Number]]</f>
        <v>B12</v>
      </c>
      <c r="AN8" s="12" cm="1">
        <f t="array" ref="AN8">SUMPRODUCT((tblGroupTotals[[#This Row],[Group_Code]]=tblGroupTotals[Group_Code])*(tblGroupTotals[[#This Row],[Total_Points]]&lt;tblGroupTotals[Total_Points]))+1</f>
        <v>1</v>
      </c>
      <c r="AO8"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8"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8" s="12" cm="1">
        <f t="array" ref="AQ8">SUMPRODUCT((tblGroupTotals[[#This Row],[Group_Code]]=tblGroupTotals[Group_Code])*(tblGroupTotals[[#This Row],[Goal_Difference]]&lt;tblGroupTotals[Goal_Difference]))+1</f>
        <v>1</v>
      </c>
      <c r="AR8" s="12" cm="1">
        <f t="array" ref="AR8">SUMPRODUCT((tblGroupTotals[[#This Row],[Group_Code]]=tblGroupTotals[Group_Code])*(tblGroupTotals[[#This Row],[Total_Goals_For]]&lt;tblGroupTotals[Total_Goals_For]))+1</f>
        <v>1</v>
      </c>
      <c r="AS8" s="12" cm="1">
        <f t="array" ref="AS8">SUMPRODUCT((tblGroupTotals[[#This Row],[Group_Code]]=tblGroupTotals[Group_Code])*(tblGroupTotals[[#This Row],[Total_Wins]]&lt;tblGroupTotals[Total_Wins]))+1</f>
        <v>1</v>
      </c>
      <c r="AT8" s="12" cm="1">
        <f t="array" ref="AT8">SUMPRODUCT((tblGroupTotals[[#This Row],[Group_Code]]=tblGroupTotals[Group_Code])*(tblGroupTotals[[#This Row],[Total_Penalties]]&lt;tblGroupTotals[Total_Penalties]))+1</f>
        <v>1</v>
      </c>
      <c r="AU8" s="12" cm="1">
        <f t="array" ref="AU8">SUMPRODUCT((tblGroupTotals[[#This Row],[Group_Code]]=tblGroupTotals[Group_Code])*(tblGroupTotals[[#This Row],[Total_Diciplinary_Points]]&gt;tblGroupTotals[Total_Diciplinary_Points]))+1</f>
        <v>1</v>
      </c>
      <c r="AV8" s="12" cm="1">
        <f t="array" ref="AV8">SUMPRODUCT((tblGroupTotals[[#This Row],[Group_Code]]=tblGroupTotals[Group_Code])*(tblGroupTotals[[#This Row],[Qualifier_Rank_Position]]&gt;tblGroupTotals[Qualifier_Rank_Position]))+1</f>
        <v>4</v>
      </c>
      <c r="AW8"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8" s="12" cm="1">
        <f t="array" aca="1" ref="AX8" ca="1">SUMPRODUCT((tblGroupTotals[[#This Row],[Group_Code]]=tblGroupTotals[Group_Code])*(tblGroupTotals[[#This Row],[Total_Group_Rank_Value]]&gt;tblGroupTotals[Total_Group_Rank_Value]))+1</f>
        <v>4</v>
      </c>
      <c r="AY8" s="12" t="str">
        <f ca="1">tblGroupTotals[[#This Row],[Group_Code]]&amp;tblGroupTotals[[#This Row],[Group_Rank]]</f>
        <v>B4</v>
      </c>
    </row>
    <row r="9" spans="2:51" x14ac:dyDescent="0.25">
      <c r="B9" t="s">
        <v>221</v>
      </c>
      <c r="C9" s="12" t="str">
        <f>LEFT(tblGroupTotals[[#This Row],[Team_Code]],1)</f>
        <v>B</v>
      </c>
      <c r="D9" s="12" t="str">
        <f>RIGHT(tblGroupTotals[[#This Row],[Team_Code]],1)</f>
        <v>3</v>
      </c>
      <c r="E9" s="12">
        <f>INDEX(lkupTeam[],MATCH(tblGroupTotals[[#This Row],[Team_Code]],lkupTeam[Team_Code],0),MATCH("Team_Number",lkupTeam[#Headers],0))</f>
        <v>7</v>
      </c>
      <c r="F9">
        <f>COUNTIFS(tblGroupMatch[Home_Team_Number],tblGroupTotals[[#This Row],[Team_Number]],tblGroupMatch[Is_Complete],TRUE)</f>
        <v>0</v>
      </c>
      <c r="G9" s="12">
        <f>SUMIFS(tblGroupMatch[Home_Points],tblGroupMatch[Home_Team_Number],tblGroupTotals[[#This Row],[Team_Number]])</f>
        <v>0</v>
      </c>
      <c r="H9" s="12">
        <f>SUMIFS(tblGroupMatch[Team A Goals],tblGroupMatch[Home_Team_Number],tblGroupTotals[[#This Row],[Team_Number]])</f>
        <v>0</v>
      </c>
      <c r="I9" s="12">
        <f>SUMIFS(tblGroupMatch[Team B Goals],tblGroupMatch[Home_Team_Number],tblGroupTotals[[#This Row],[Team_Number]])</f>
        <v>0</v>
      </c>
      <c r="J9">
        <f>COUNTIFS(tblGroupMatch[Home_Team_Number],tblGroupTotals[[#This Row],[Team_Number]],tblGroupMatch[Home_Points],3)</f>
        <v>0</v>
      </c>
      <c r="K9">
        <f>COUNTIFS(tblGroupMatch[Home_Team_Number],tblGroupTotals[[#This Row],[Team_Number]],tblGroupMatch[Home_Points],1)</f>
        <v>0</v>
      </c>
      <c r="L9">
        <f>COUNTIFS(tblGroupMatch[Home_Team_Number],tblGroupTotals[[#This Row],[Team_Number]],tblGroupMatch[Home_Points],0)</f>
        <v>0</v>
      </c>
      <c r="M9" s="12">
        <f>SUMIFS(tblGroupMatch[Team A YCs],tblGroupMatch[Home_Team_Number],tblGroupTotals[[#This Row],[Team_Number]])</f>
        <v>0</v>
      </c>
      <c r="N9" s="12">
        <f>SUMIFS(tblGroupMatch[Team A RCs],tblGroupMatch[Home_Team_Number],tblGroupTotals[[#This Row],[Team_Number]])</f>
        <v>0</v>
      </c>
      <c r="O9" s="12">
        <f>SUMIFS(tblGroupMatch[Team A Penalties],tblGroupMatch[Home_Team_Number],tblGroupTotals[[#This Row],[Team_Number]])</f>
        <v>0</v>
      </c>
      <c r="P9">
        <f>COUNTIFS(tblGroupMatch[Away_Team_Number],tblGroupTotals[[#This Row],[Team_Number]],tblGroupMatch[Is_Complete],TRUE)</f>
        <v>0</v>
      </c>
      <c r="Q9" s="12">
        <f>SUMIFS(tblGroupMatch[Away_Points],tblGroupMatch[Away_Team_Number],tblGroupTotals[[#This Row],[Team_Number]])</f>
        <v>0</v>
      </c>
      <c r="R9" s="12">
        <f>SUMIFS(tblGroupMatch[Team B Goals],tblGroupMatch[Away_Team_Number],tblGroupTotals[[#This Row],[Team_Number]])</f>
        <v>0</v>
      </c>
      <c r="S9" s="12">
        <f>SUMIFS(tblGroupMatch[Team A Goals],tblGroupMatch[Away_Team_Number],tblGroupTotals[[#This Row],[Team_Number]])</f>
        <v>0</v>
      </c>
      <c r="T9">
        <f>COUNTIFS(tblGroupMatch[Away_Team_Number],tblGroupTotals[[#This Row],[Team_Number]],tblGroupMatch[Away_Points],3)</f>
        <v>0</v>
      </c>
      <c r="U9">
        <f>COUNTIFS(tblGroupMatch[Away_Team_Number],tblGroupTotals[[#This Row],[Team_Number]],tblGroupMatch[Away_Points],1)</f>
        <v>0</v>
      </c>
      <c r="V9">
        <f>COUNTIFS(tblGroupMatch[Away_Team_Number],tblGroupTotals[[#This Row],[Team_Number]],tblGroupMatch[Away_Points],0)</f>
        <v>0</v>
      </c>
      <c r="W9" s="12">
        <f>SUMIFS(tblGroupMatch[Team B Ycs],tblGroupMatch[Away_Team_Number],tblGroupTotals[[#This Row],[Team_Number]])</f>
        <v>0</v>
      </c>
      <c r="X9" s="12">
        <f>SUMIFS(tblGroupMatch[Team B RCs],tblGroupMatch[Away_Team_Number],tblGroupTotals[[#This Row],[Team_Number]])</f>
        <v>0</v>
      </c>
      <c r="Y9" s="12">
        <f>SUMIFS(tblGroupMatch[Team B Penalties],tblGroupMatch[Away_Team_Number],tblGroupTotals[[#This Row],[Team_Number]])</f>
        <v>0</v>
      </c>
      <c r="Z9">
        <f>SUM(tblGroupTotals[[#This Row],[Home_Games]],tblGroupTotals[[#This Row],[Away_Games]])</f>
        <v>0</v>
      </c>
      <c r="AA9" s="12">
        <f>SUM(tblGroupTotals[[#This Row],[Home_Points]],tblGroupTotals[[#This Row],[Away_Points]])</f>
        <v>0</v>
      </c>
      <c r="AB9" s="12">
        <f>tblGroupTotals[[#This Row],[Total_Goals_For]]-tblGroupTotals[[#This Row],[Total_Goals_Against]]</f>
        <v>0</v>
      </c>
      <c r="AC9" s="12">
        <f>SUM(tblGroupTotals[[#This Row],[Home_Goals_For]],tblGroupTotals[[#This Row],[Away_Goals_For]])</f>
        <v>0</v>
      </c>
      <c r="AD9" s="12">
        <f>SUM(tblGroupTotals[[#This Row],[Home_Goals_Against]],tblGroupTotals[[#This Row],[Away_Goals_Against]])</f>
        <v>0</v>
      </c>
      <c r="AE9" s="12">
        <f>SUM(tblGroupTotals[[#This Row],[Home_Wins]],tblGroupTotals[[#This Row],[Away_Wins]])</f>
        <v>0</v>
      </c>
      <c r="AF9" s="12">
        <f>SUM(tblGroupTotals[[#This Row],[Home_Draws]],tblGroupTotals[[#This Row],[Away_Draws]])</f>
        <v>0</v>
      </c>
      <c r="AG9" s="12">
        <f>SUM(tblGroupTotals[[#This Row],[Home_Loses]],tblGroupTotals[[#This Row],[Away_Loses]])</f>
        <v>0</v>
      </c>
      <c r="AH9" s="12">
        <f>SUM(tblGroupTotals[[#This Row],[Home_Yellow_Cards]],tblGroupTotals[[#This Row],[Away_Yellow_Cards]])</f>
        <v>0</v>
      </c>
      <c r="AI9" s="12">
        <f>SUM(tblGroupTotals[[#This Row],[Home_Red_Cards]],tblGroupTotals[[#This Row],[Away_Red_Cards]])</f>
        <v>0</v>
      </c>
      <c r="AJ9" s="12">
        <f>SUM(tblGroupTotals[[#This Row],[Home_Penalties]],tblGroupTotals[[#This Row],[Away_Penalties]])</f>
        <v>0</v>
      </c>
      <c r="AK9" s="12">
        <f>SUM(tblGroupTotals[[#This Row],[Total_Yellow_Cards]],tblGroupTotals[[#This Row],[Total_Red_Cards]]*3)</f>
        <v>0</v>
      </c>
      <c r="AL9" s="12">
        <f>INDEX(lkupTeam[],MATCH(tblGroupTotals[[#This Row],[Team_Code]],lkupTeam[Team_Code],0),MATCH("Qualifier_Rank",lkupTeam[#Headers],0))</f>
        <v>1</v>
      </c>
      <c r="AM9" s="12" t="str">
        <f>tblGroupTotals[[#This Row],[Group_Code]]&amp;tblGroupTotals[[#This Row],[Group_Points_Rank]]&amp;tblGroupTotals[[#This Row],[Group_Number]]</f>
        <v>B13</v>
      </c>
      <c r="AN9" s="12" cm="1">
        <f t="array" ref="AN9">SUMPRODUCT((tblGroupTotals[[#This Row],[Group_Code]]=tblGroupTotals[Group_Code])*(tblGroupTotals[[#This Row],[Total_Points]]&lt;tblGroupTotals[Total_Points]))+1</f>
        <v>1</v>
      </c>
      <c r="AO9"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9"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9" s="12" cm="1">
        <f t="array" ref="AQ9">SUMPRODUCT((tblGroupTotals[[#This Row],[Group_Code]]=tblGroupTotals[Group_Code])*(tblGroupTotals[[#This Row],[Goal_Difference]]&lt;tblGroupTotals[Goal_Difference]))+1</f>
        <v>1</v>
      </c>
      <c r="AR9" s="12" cm="1">
        <f t="array" ref="AR9">SUMPRODUCT((tblGroupTotals[[#This Row],[Group_Code]]=tblGroupTotals[Group_Code])*(tblGroupTotals[[#This Row],[Total_Goals_For]]&lt;tblGroupTotals[Total_Goals_For]))+1</f>
        <v>1</v>
      </c>
      <c r="AS9" s="12" cm="1">
        <f t="array" ref="AS9">SUMPRODUCT((tblGroupTotals[[#This Row],[Group_Code]]=tblGroupTotals[Group_Code])*(tblGroupTotals[[#This Row],[Total_Wins]]&lt;tblGroupTotals[Total_Wins]))+1</f>
        <v>1</v>
      </c>
      <c r="AT9" s="12" cm="1">
        <f t="array" ref="AT9">SUMPRODUCT((tblGroupTotals[[#This Row],[Group_Code]]=tblGroupTotals[Group_Code])*(tblGroupTotals[[#This Row],[Total_Penalties]]&lt;tblGroupTotals[Total_Penalties]))+1</f>
        <v>1</v>
      </c>
      <c r="AU9" s="12" cm="1">
        <f t="array" ref="AU9">SUMPRODUCT((tblGroupTotals[[#This Row],[Group_Code]]=tblGroupTotals[Group_Code])*(tblGroupTotals[[#This Row],[Total_Diciplinary_Points]]&gt;tblGroupTotals[Total_Diciplinary_Points]))+1</f>
        <v>1</v>
      </c>
      <c r="AV9" s="12" cm="1">
        <f t="array" ref="AV9">SUMPRODUCT((tblGroupTotals[[#This Row],[Group_Code]]=tblGroupTotals[Group_Code])*(tblGroupTotals[[#This Row],[Qualifier_Rank_Position]]&gt;tblGroupTotals[Qualifier_Rank_Position]))+1</f>
        <v>1</v>
      </c>
      <c r="AW9"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9" s="12" cm="1">
        <f t="array" aca="1" ref="AX9" ca="1">SUMPRODUCT((tblGroupTotals[[#This Row],[Group_Code]]=tblGroupTotals[Group_Code])*(tblGroupTotals[[#This Row],[Total_Group_Rank_Value]]&gt;tblGroupTotals[Total_Group_Rank_Value]))+1</f>
        <v>1</v>
      </c>
      <c r="AY9" s="12" t="str">
        <f ca="1">tblGroupTotals[[#This Row],[Group_Code]]&amp;tblGroupTotals[[#This Row],[Group_Rank]]</f>
        <v>B1</v>
      </c>
    </row>
    <row r="10" spans="2:51" x14ac:dyDescent="0.25">
      <c r="B10" t="s">
        <v>222</v>
      </c>
      <c r="C10" s="12" t="str">
        <f>LEFT(tblGroupTotals[[#This Row],[Team_Code]],1)</f>
        <v>B</v>
      </c>
      <c r="D10" s="12" t="str">
        <f>RIGHT(tblGroupTotals[[#This Row],[Team_Code]],1)</f>
        <v>4</v>
      </c>
      <c r="E10" s="12">
        <f>INDEX(lkupTeam[],MATCH(tblGroupTotals[[#This Row],[Team_Code]],lkupTeam[Team_Code],0),MATCH("Team_Number",lkupTeam[#Headers],0))</f>
        <v>8</v>
      </c>
      <c r="F10">
        <f>COUNTIFS(tblGroupMatch[Home_Team_Number],tblGroupTotals[[#This Row],[Team_Number]],tblGroupMatch[Is_Complete],TRUE)</f>
        <v>0</v>
      </c>
      <c r="G10" s="12">
        <f>SUMIFS(tblGroupMatch[Home_Points],tblGroupMatch[Home_Team_Number],tblGroupTotals[[#This Row],[Team_Number]])</f>
        <v>0</v>
      </c>
      <c r="H10" s="12">
        <f>SUMIFS(tblGroupMatch[Team A Goals],tblGroupMatch[Home_Team_Number],tblGroupTotals[[#This Row],[Team_Number]])</f>
        <v>0</v>
      </c>
      <c r="I10" s="12">
        <f>SUMIFS(tblGroupMatch[Team B Goals],tblGroupMatch[Home_Team_Number],tblGroupTotals[[#This Row],[Team_Number]])</f>
        <v>0</v>
      </c>
      <c r="J10">
        <f>COUNTIFS(tblGroupMatch[Home_Team_Number],tblGroupTotals[[#This Row],[Team_Number]],tblGroupMatch[Home_Points],3)</f>
        <v>0</v>
      </c>
      <c r="K10">
        <f>COUNTIFS(tblGroupMatch[Home_Team_Number],tblGroupTotals[[#This Row],[Team_Number]],tblGroupMatch[Home_Points],1)</f>
        <v>0</v>
      </c>
      <c r="L10">
        <f>COUNTIFS(tblGroupMatch[Home_Team_Number],tblGroupTotals[[#This Row],[Team_Number]],tblGroupMatch[Home_Points],0)</f>
        <v>0</v>
      </c>
      <c r="M10" s="12">
        <f>SUMIFS(tblGroupMatch[Team A YCs],tblGroupMatch[Home_Team_Number],tblGroupTotals[[#This Row],[Team_Number]])</f>
        <v>0</v>
      </c>
      <c r="N10" s="12">
        <f>SUMIFS(tblGroupMatch[Team A RCs],tblGroupMatch[Home_Team_Number],tblGroupTotals[[#This Row],[Team_Number]])</f>
        <v>0</v>
      </c>
      <c r="O10" s="12">
        <f>SUMIFS(tblGroupMatch[Team A Penalties],tblGroupMatch[Home_Team_Number],tblGroupTotals[[#This Row],[Team_Number]])</f>
        <v>0</v>
      </c>
      <c r="P10">
        <f>COUNTIFS(tblGroupMatch[Away_Team_Number],tblGroupTotals[[#This Row],[Team_Number]],tblGroupMatch[Is_Complete],TRUE)</f>
        <v>0</v>
      </c>
      <c r="Q10" s="12">
        <f>SUMIFS(tblGroupMatch[Away_Points],tblGroupMatch[Away_Team_Number],tblGroupTotals[[#This Row],[Team_Number]])</f>
        <v>0</v>
      </c>
      <c r="R10" s="12">
        <f>SUMIFS(tblGroupMatch[Team B Goals],tblGroupMatch[Away_Team_Number],tblGroupTotals[[#This Row],[Team_Number]])</f>
        <v>0</v>
      </c>
      <c r="S10" s="12">
        <f>SUMIFS(tblGroupMatch[Team A Goals],tblGroupMatch[Away_Team_Number],tblGroupTotals[[#This Row],[Team_Number]])</f>
        <v>0</v>
      </c>
      <c r="T10">
        <f>COUNTIFS(tblGroupMatch[Away_Team_Number],tblGroupTotals[[#This Row],[Team_Number]],tblGroupMatch[Away_Points],3)</f>
        <v>0</v>
      </c>
      <c r="U10">
        <f>COUNTIFS(tblGroupMatch[Away_Team_Number],tblGroupTotals[[#This Row],[Team_Number]],tblGroupMatch[Away_Points],1)</f>
        <v>0</v>
      </c>
      <c r="V10">
        <f>COUNTIFS(tblGroupMatch[Away_Team_Number],tblGroupTotals[[#This Row],[Team_Number]],tblGroupMatch[Away_Points],0)</f>
        <v>0</v>
      </c>
      <c r="W10" s="12">
        <f>SUMIFS(tblGroupMatch[Team B Ycs],tblGroupMatch[Away_Team_Number],tblGroupTotals[[#This Row],[Team_Number]])</f>
        <v>0</v>
      </c>
      <c r="X10" s="12">
        <f>SUMIFS(tblGroupMatch[Team B RCs],tblGroupMatch[Away_Team_Number],tblGroupTotals[[#This Row],[Team_Number]])</f>
        <v>0</v>
      </c>
      <c r="Y10" s="12">
        <f>SUMIFS(tblGroupMatch[Team B Penalties],tblGroupMatch[Away_Team_Number],tblGroupTotals[[#This Row],[Team_Number]])</f>
        <v>0</v>
      </c>
      <c r="Z10">
        <f>SUM(tblGroupTotals[[#This Row],[Home_Games]],tblGroupTotals[[#This Row],[Away_Games]])</f>
        <v>0</v>
      </c>
      <c r="AA10" s="12">
        <f>SUM(tblGroupTotals[[#This Row],[Home_Points]],tblGroupTotals[[#This Row],[Away_Points]])</f>
        <v>0</v>
      </c>
      <c r="AB10" s="12">
        <f>tblGroupTotals[[#This Row],[Total_Goals_For]]-tblGroupTotals[[#This Row],[Total_Goals_Against]]</f>
        <v>0</v>
      </c>
      <c r="AC10" s="12">
        <f>SUM(tblGroupTotals[[#This Row],[Home_Goals_For]],tblGroupTotals[[#This Row],[Away_Goals_For]])</f>
        <v>0</v>
      </c>
      <c r="AD10" s="12">
        <f>SUM(tblGroupTotals[[#This Row],[Home_Goals_Against]],tblGroupTotals[[#This Row],[Away_Goals_Against]])</f>
        <v>0</v>
      </c>
      <c r="AE10" s="12">
        <f>SUM(tblGroupTotals[[#This Row],[Home_Wins]],tblGroupTotals[[#This Row],[Away_Wins]])</f>
        <v>0</v>
      </c>
      <c r="AF10" s="12">
        <f>SUM(tblGroupTotals[[#This Row],[Home_Draws]],tblGroupTotals[[#This Row],[Away_Draws]])</f>
        <v>0</v>
      </c>
      <c r="AG10" s="12">
        <f>SUM(tblGroupTotals[[#This Row],[Home_Loses]],tblGroupTotals[[#This Row],[Away_Loses]])</f>
        <v>0</v>
      </c>
      <c r="AH10" s="12">
        <f>SUM(tblGroupTotals[[#This Row],[Home_Yellow_Cards]],tblGroupTotals[[#This Row],[Away_Yellow_Cards]])</f>
        <v>0</v>
      </c>
      <c r="AI10" s="12">
        <f>SUM(tblGroupTotals[[#This Row],[Home_Red_Cards]],tblGroupTotals[[#This Row],[Away_Red_Cards]])</f>
        <v>0</v>
      </c>
      <c r="AJ10" s="12">
        <f>SUM(tblGroupTotals[[#This Row],[Home_Penalties]],tblGroupTotals[[#This Row],[Away_Penalties]])</f>
        <v>0</v>
      </c>
      <c r="AK10" s="12">
        <f>SUM(tblGroupTotals[[#This Row],[Total_Yellow_Cards]],tblGroupTotals[[#This Row],[Total_Red_Cards]]*3)</f>
        <v>0</v>
      </c>
      <c r="AL10" s="12">
        <f>INDEX(lkupTeam[],MATCH(tblGroupTotals[[#This Row],[Team_Code]],lkupTeam[Team_Code],0),MATCH("Qualifier_Rank",lkupTeam[#Headers],0))</f>
        <v>12</v>
      </c>
      <c r="AM10" s="12" t="str">
        <f>tblGroupTotals[[#This Row],[Group_Code]]&amp;tblGroupTotals[[#This Row],[Group_Points_Rank]]&amp;tblGroupTotals[[#This Row],[Group_Number]]</f>
        <v>B14</v>
      </c>
      <c r="AN10" s="12" cm="1">
        <f t="array" ref="AN10">SUMPRODUCT((tblGroupTotals[[#This Row],[Group_Code]]=tblGroupTotals[Group_Code])*(tblGroupTotals[[#This Row],[Total_Points]]&lt;tblGroupTotals[Total_Points]))+1</f>
        <v>1</v>
      </c>
      <c r="AO10"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0"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0" s="12" cm="1">
        <f t="array" ref="AQ10">SUMPRODUCT((tblGroupTotals[[#This Row],[Group_Code]]=tblGroupTotals[Group_Code])*(tblGroupTotals[[#This Row],[Goal_Difference]]&lt;tblGroupTotals[Goal_Difference]))+1</f>
        <v>1</v>
      </c>
      <c r="AR10" s="12" cm="1">
        <f t="array" ref="AR10">SUMPRODUCT((tblGroupTotals[[#This Row],[Group_Code]]=tblGroupTotals[Group_Code])*(tblGroupTotals[[#This Row],[Total_Goals_For]]&lt;tblGroupTotals[Total_Goals_For]))+1</f>
        <v>1</v>
      </c>
      <c r="AS10" s="12" cm="1">
        <f t="array" ref="AS10">SUMPRODUCT((tblGroupTotals[[#This Row],[Group_Code]]=tblGroupTotals[Group_Code])*(tblGroupTotals[[#This Row],[Total_Wins]]&lt;tblGroupTotals[Total_Wins]))+1</f>
        <v>1</v>
      </c>
      <c r="AT10" s="12" cm="1">
        <f t="array" ref="AT10">SUMPRODUCT((tblGroupTotals[[#This Row],[Group_Code]]=tblGroupTotals[Group_Code])*(tblGroupTotals[[#This Row],[Total_Penalties]]&lt;tblGroupTotals[Total_Penalties]))+1</f>
        <v>1</v>
      </c>
      <c r="AU10" s="12" cm="1">
        <f t="array" ref="AU10">SUMPRODUCT((tblGroupTotals[[#This Row],[Group_Code]]=tblGroupTotals[Group_Code])*(tblGroupTotals[[#This Row],[Total_Diciplinary_Points]]&gt;tblGroupTotals[Total_Diciplinary_Points]))+1</f>
        <v>1</v>
      </c>
      <c r="AV10" s="12" cm="1">
        <f t="array" ref="AV10">SUMPRODUCT((tblGroupTotals[[#This Row],[Group_Code]]=tblGroupTotals[Group_Code])*(tblGroupTotals[[#This Row],[Qualifier_Rank_Position]]&gt;tblGroupTotals[Qualifier_Rank_Position]))+1</f>
        <v>2</v>
      </c>
      <c r="AW10"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10" s="12" cm="1">
        <f t="array" aca="1" ref="AX10" ca="1">SUMPRODUCT((tblGroupTotals[[#This Row],[Group_Code]]=tblGroupTotals[Group_Code])*(tblGroupTotals[[#This Row],[Total_Group_Rank_Value]]&gt;tblGroupTotals[Total_Group_Rank_Value]))+1</f>
        <v>2</v>
      </c>
      <c r="AY10" s="12" t="str">
        <f ca="1">tblGroupTotals[[#This Row],[Group_Code]]&amp;tblGroupTotals[[#This Row],[Group_Rank]]</f>
        <v>B2</v>
      </c>
    </row>
    <row r="11" spans="2:51" x14ac:dyDescent="0.25">
      <c r="B11" t="s">
        <v>223</v>
      </c>
      <c r="C11" s="12" t="str">
        <f>LEFT(tblGroupTotals[[#This Row],[Team_Code]],1)</f>
        <v>C</v>
      </c>
      <c r="D11" s="12" t="str">
        <f>RIGHT(tblGroupTotals[[#This Row],[Team_Code]],1)</f>
        <v>1</v>
      </c>
      <c r="E11" s="12">
        <f>INDEX(lkupTeam[],MATCH(tblGroupTotals[[#This Row],[Team_Code]],lkupTeam[Team_Code],0),MATCH("Team_Number",lkupTeam[#Headers],0))</f>
        <v>9</v>
      </c>
      <c r="F11">
        <f>COUNTIFS(tblGroupMatch[Home_Team_Number],tblGroupTotals[[#This Row],[Team_Number]],tblGroupMatch[Is_Complete],TRUE)</f>
        <v>0</v>
      </c>
      <c r="G11" s="12">
        <f>SUMIFS(tblGroupMatch[Home_Points],tblGroupMatch[Home_Team_Number],tblGroupTotals[[#This Row],[Team_Number]])</f>
        <v>0</v>
      </c>
      <c r="H11" s="12">
        <f>SUMIFS(tblGroupMatch[Team A Goals],tblGroupMatch[Home_Team_Number],tblGroupTotals[[#This Row],[Team_Number]])</f>
        <v>0</v>
      </c>
      <c r="I11" s="12">
        <f>SUMIFS(tblGroupMatch[Team B Goals],tblGroupMatch[Home_Team_Number],tblGroupTotals[[#This Row],[Team_Number]])</f>
        <v>0</v>
      </c>
      <c r="J11">
        <f>COUNTIFS(tblGroupMatch[Home_Team_Number],tblGroupTotals[[#This Row],[Team_Number]],tblGroupMatch[Home_Points],3)</f>
        <v>0</v>
      </c>
      <c r="K11">
        <f>COUNTIFS(tblGroupMatch[Home_Team_Number],tblGroupTotals[[#This Row],[Team_Number]],tblGroupMatch[Home_Points],1)</f>
        <v>0</v>
      </c>
      <c r="L11">
        <f>COUNTIFS(tblGroupMatch[Home_Team_Number],tblGroupTotals[[#This Row],[Team_Number]],tblGroupMatch[Home_Points],0)</f>
        <v>0</v>
      </c>
      <c r="M11" s="12">
        <f>SUMIFS(tblGroupMatch[Team A YCs],tblGroupMatch[Home_Team_Number],tblGroupTotals[[#This Row],[Team_Number]])</f>
        <v>0</v>
      </c>
      <c r="N11" s="12">
        <f>SUMIFS(tblGroupMatch[Team A RCs],tblGroupMatch[Home_Team_Number],tblGroupTotals[[#This Row],[Team_Number]])</f>
        <v>0</v>
      </c>
      <c r="O11" s="12">
        <f>SUMIFS(tblGroupMatch[Team A Penalties],tblGroupMatch[Home_Team_Number],tblGroupTotals[[#This Row],[Team_Number]])</f>
        <v>0</v>
      </c>
      <c r="P11">
        <f>COUNTIFS(tblGroupMatch[Away_Team_Number],tblGroupTotals[[#This Row],[Team_Number]],tblGroupMatch[Is_Complete],TRUE)</f>
        <v>0</v>
      </c>
      <c r="Q11" s="12">
        <f>SUMIFS(tblGroupMatch[Away_Points],tblGroupMatch[Away_Team_Number],tblGroupTotals[[#This Row],[Team_Number]])</f>
        <v>0</v>
      </c>
      <c r="R11" s="12">
        <f>SUMIFS(tblGroupMatch[Team B Goals],tblGroupMatch[Away_Team_Number],tblGroupTotals[[#This Row],[Team_Number]])</f>
        <v>0</v>
      </c>
      <c r="S11" s="12">
        <f>SUMIFS(tblGroupMatch[Team A Goals],tblGroupMatch[Away_Team_Number],tblGroupTotals[[#This Row],[Team_Number]])</f>
        <v>0</v>
      </c>
      <c r="T11">
        <f>COUNTIFS(tblGroupMatch[Away_Team_Number],tblGroupTotals[[#This Row],[Team_Number]],tblGroupMatch[Away_Points],3)</f>
        <v>0</v>
      </c>
      <c r="U11">
        <f>COUNTIFS(tblGroupMatch[Away_Team_Number],tblGroupTotals[[#This Row],[Team_Number]],tblGroupMatch[Away_Points],1)</f>
        <v>0</v>
      </c>
      <c r="V11">
        <f>COUNTIFS(tblGroupMatch[Away_Team_Number],tblGroupTotals[[#This Row],[Team_Number]],tblGroupMatch[Away_Points],0)</f>
        <v>0</v>
      </c>
      <c r="W11" s="12">
        <f>SUMIFS(tblGroupMatch[Team B Ycs],tblGroupMatch[Away_Team_Number],tblGroupTotals[[#This Row],[Team_Number]])</f>
        <v>0</v>
      </c>
      <c r="X11" s="12">
        <f>SUMIFS(tblGroupMatch[Team B RCs],tblGroupMatch[Away_Team_Number],tblGroupTotals[[#This Row],[Team_Number]])</f>
        <v>0</v>
      </c>
      <c r="Y11" s="12">
        <f>SUMIFS(tblGroupMatch[Team B Penalties],tblGroupMatch[Away_Team_Number],tblGroupTotals[[#This Row],[Team_Number]])</f>
        <v>0</v>
      </c>
      <c r="Z11">
        <f>SUM(tblGroupTotals[[#This Row],[Home_Games]],tblGroupTotals[[#This Row],[Away_Games]])</f>
        <v>0</v>
      </c>
      <c r="AA11" s="12">
        <f>SUM(tblGroupTotals[[#This Row],[Home_Points]],tblGroupTotals[[#This Row],[Away_Points]])</f>
        <v>0</v>
      </c>
      <c r="AB11" s="12">
        <f>tblGroupTotals[[#This Row],[Total_Goals_For]]-tblGroupTotals[[#This Row],[Total_Goals_Against]]</f>
        <v>0</v>
      </c>
      <c r="AC11" s="12">
        <f>SUM(tblGroupTotals[[#This Row],[Home_Goals_For]],tblGroupTotals[[#This Row],[Away_Goals_For]])</f>
        <v>0</v>
      </c>
      <c r="AD11" s="12">
        <f>SUM(tblGroupTotals[[#This Row],[Home_Goals_Against]],tblGroupTotals[[#This Row],[Away_Goals_Against]])</f>
        <v>0</v>
      </c>
      <c r="AE11" s="12">
        <f>SUM(tblGroupTotals[[#This Row],[Home_Wins]],tblGroupTotals[[#This Row],[Away_Wins]])</f>
        <v>0</v>
      </c>
      <c r="AF11" s="12">
        <f>SUM(tblGroupTotals[[#This Row],[Home_Draws]],tblGroupTotals[[#This Row],[Away_Draws]])</f>
        <v>0</v>
      </c>
      <c r="AG11" s="12">
        <f>SUM(tblGroupTotals[[#This Row],[Home_Loses]],tblGroupTotals[[#This Row],[Away_Loses]])</f>
        <v>0</v>
      </c>
      <c r="AH11" s="12">
        <f>SUM(tblGroupTotals[[#This Row],[Home_Yellow_Cards]],tblGroupTotals[[#This Row],[Away_Yellow_Cards]])</f>
        <v>0</v>
      </c>
      <c r="AI11" s="12">
        <f>SUM(tblGroupTotals[[#This Row],[Home_Red_Cards]],tblGroupTotals[[#This Row],[Away_Red_Cards]])</f>
        <v>0</v>
      </c>
      <c r="AJ11" s="12">
        <f>SUM(tblGroupTotals[[#This Row],[Home_Penalties]],tblGroupTotals[[#This Row],[Away_Penalties]])</f>
        <v>0</v>
      </c>
      <c r="AK11" s="12">
        <f>SUM(tblGroupTotals[[#This Row],[Total_Yellow_Cards]],tblGroupTotals[[#This Row],[Total_Red_Cards]]*3)</f>
        <v>0</v>
      </c>
      <c r="AL11" s="12">
        <f>INDEX(lkupTeam[],MATCH(tblGroupTotals[[#This Row],[Team_Code]],lkupTeam[Team_Code],0),MATCH("Qualifier_Rank",lkupTeam[#Headers],0))</f>
        <v>16</v>
      </c>
      <c r="AM11" s="12" t="str">
        <f>tblGroupTotals[[#This Row],[Group_Code]]&amp;tblGroupTotals[[#This Row],[Group_Points_Rank]]&amp;tblGroupTotals[[#This Row],[Group_Number]]</f>
        <v>C11</v>
      </c>
      <c r="AN11" s="12" cm="1">
        <f t="array" ref="AN11">SUMPRODUCT((tblGroupTotals[[#This Row],[Group_Code]]=tblGroupTotals[Group_Code])*(tblGroupTotals[[#This Row],[Total_Points]]&lt;tblGroupTotals[Total_Points]))+1</f>
        <v>1</v>
      </c>
      <c r="AO11"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1"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1" s="12" cm="1">
        <f t="array" ref="AQ11">SUMPRODUCT((tblGroupTotals[[#This Row],[Group_Code]]=tblGroupTotals[Group_Code])*(tblGroupTotals[[#This Row],[Goal_Difference]]&lt;tblGroupTotals[Goal_Difference]))+1</f>
        <v>1</v>
      </c>
      <c r="AR11" s="12" cm="1">
        <f t="array" ref="AR11">SUMPRODUCT((tblGroupTotals[[#This Row],[Group_Code]]=tblGroupTotals[Group_Code])*(tblGroupTotals[[#This Row],[Total_Goals_For]]&lt;tblGroupTotals[Total_Goals_For]))+1</f>
        <v>1</v>
      </c>
      <c r="AS11" s="12" cm="1">
        <f t="array" ref="AS11">SUMPRODUCT((tblGroupTotals[[#This Row],[Group_Code]]=tblGroupTotals[Group_Code])*(tblGroupTotals[[#This Row],[Total_Wins]]&lt;tblGroupTotals[Total_Wins]))+1</f>
        <v>1</v>
      </c>
      <c r="AT11" s="12" cm="1">
        <f t="array" ref="AT11">SUMPRODUCT((tblGroupTotals[[#This Row],[Group_Code]]=tblGroupTotals[Group_Code])*(tblGroupTotals[[#This Row],[Total_Penalties]]&lt;tblGroupTotals[Total_Penalties]))+1</f>
        <v>1</v>
      </c>
      <c r="AU11" s="12" cm="1">
        <f t="array" ref="AU11">SUMPRODUCT((tblGroupTotals[[#This Row],[Group_Code]]=tblGroupTotals[Group_Code])*(tblGroupTotals[[#This Row],[Total_Diciplinary_Points]]&gt;tblGroupTotals[Total_Diciplinary_Points]))+1</f>
        <v>1</v>
      </c>
      <c r="AV11" s="12" cm="1">
        <f t="array" ref="AV11">SUMPRODUCT((tblGroupTotals[[#This Row],[Group_Code]]=tblGroupTotals[Group_Code])*(tblGroupTotals[[#This Row],[Qualifier_Rank_Position]]&gt;tblGroupTotals[Qualifier_Rank_Position]))+1</f>
        <v>3</v>
      </c>
      <c r="AW11"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11" s="12" cm="1">
        <f t="array" aca="1" ref="AX11" ca="1">SUMPRODUCT((tblGroupTotals[[#This Row],[Group_Code]]=tblGroupTotals[Group_Code])*(tblGroupTotals[[#This Row],[Total_Group_Rank_Value]]&gt;tblGroupTotals[Total_Group_Rank_Value]))+1</f>
        <v>3</v>
      </c>
      <c r="AY11" s="12" t="str">
        <f ca="1">tblGroupTotals[[#This Row],[Group_Code]]&amp;tblGroupTotals[[#This Row],[Group_Rank]]</f>
        <v>C3</v>
      </c>
    </row>
    <row r="12" spans="2:51" x14ac:dyDescent="0.25">
      <c r="B12" t="s">
        <v>224</v>
      </c>
      <c r="C12" s="12" t="str">
        <f>LEFT(tblGroupTotals[[#This Row],[Team_Code]],1)</f>
        <v>C</v>
      </c>
      <c r="D12" s="12" t="str">
        <f>RIGHT(tblGroupTotals[[#This Row],[Team_Code]],1)</f>
        <v>2</v>
      </c>
      <c r="E12" s="12">
        <f>INDEX(lkupTeam[],MATCH(tblGroupTotals[[#This Row],[Team_Code]],lkupTeam[Team_Code],0),MATCH("Team_Number",lkupTeam[#Headers],0))</f>
        <v>10</v>
      </c>
      <c r="F12">
        <f>COUNTIFS(tblGroupMatch[Home_Team_Number],tblGroupTotals[[#This Row],[Team_Number]],tblGroupMatch[Is_Complete],TRUE)</f>
        <v>0</v>
      </c>
      <c r="G12" s="12">
        <f>SUMIFS(tblGroupMatch[Home_Points],tblGroupMatch[Home_Team_Number],tblGroupTotals[[#This Row],[Team_Number]])</f>
        <v>0</v>
      </c>
      <c r="H12" s="12">
        <f>SUMIFS(tblGroupMatch[Team A Goals],tblGroupMatch[Home_Team_Number],tblGroupTotals[[#This Row],[Team_Number]])</f>
        <v>0</v>
      </c>
      <c r="I12" s="12">
        <f>SUMIFS(tblGroupMatch[Team B Goals],tblGroupMatch[Home_Team_Number],tblGroupTotals[[#This Row],[Team_Number]])</f>
        <v>0</v>
      </c>
      <c r="J12">
        <f>COUNTIFS(tblGroupMatch[Home_Team_Number],tblGroupTotals[[#This Row],[Team_Number]],tblGroupMatch[Home_Points],3)</f>
        <v>0</v>
      </c>
      <c r="K12">
        <f>COUNTIFS(tblGroupMatch[Home_Team_Number],tblGroupTotals[[#This Row],[Team_Number]],tblGroupMatch[Home_Points],1)</f>
        <v>0</v>
      </c>
      <c r="L12">
        <f>COUNTIFS(tblGroupMatch[Home_Team_Number],tblGroupTotals[[#This Row],[Team_Number]],tblGroupMatch[Home_Points],0)</f>
        <v>0</v>
      </c>
      <c r="M12" s="12">
        <f>SUMIFS(tblGroupMatch[Team A YCs],tblGroupMatch[Home_Team_Number],tblGroupTotals[[#This Row],[Team_Number]])</f>
        <v>0</v>
      </c>
      <c r="N12" s="12">
        <f>SUMIFS(tblGroupMatch[Team A RCs],tblGroupMatch[Home_Team_Number],tblGroupTotals[[#This Row],[Team_Number]])</f>
        <v>0</v>
      </c>
      <c r="O12" s="12">
        <f>SUMIFS(tblGroupMatch[Team A Penalties],tblGroupMatch[Home_Team_Number],tblGroupTotals[[#This Row],[Team_Number]])</f>
        <v>0</v>
      </c>
      <c r="P12">
        <f>COUNTIFS(tblGroupMatch[Away_Team_Number],tblGroupTotals[[#This Row],[Team_Number]],tblGroupMatch[Is_Complete],TRUE)</f>
        <v>0</v>
      </c>
      <c r="Q12" s="12">
        <f>SUMIFS(tblGroupMatch[Away_Points],tblGroupMatch[Away_Team_Number],tblGroupTotals[[#This Row],[Team_Number]])</f>
        <v>0</v>
      </c>
      <c r="R12" s="12">
        <f>SUMIFS(tblGroupMatch[Team B Goals],tblGroupMatch[Away_Team_Number],tblGroupTotals[[#This Row],[Team_Number]])</f>
        <v>0</v>
      </c>
      <c r="S12" s="12">
        <f>SUMIFS(tblGroupMatch[Team A Goals],tblGroupMatch[Away_Team_Number],tblGroupTotals[[#This Row],[Team_Number]])</f>
        <v>0</v>
      </c>
      <c r="T12">
        <f>COUNTIFS(tblGroupMatch[Away_Team_Number],tblGroupTotals[[#This Row],[Team_Number]],tblGroupMatch[Away_Points],3)</f>
        <v>0</v>
      </c>
      <c r="U12">
        <f>COUNTIFS(tblGroupMatch[Away_Team_Number],tblGroupTotals[[#This Row],[Team_Number]],tblGroupMatch[Away_Points],1)</f>
        <v>0</v>
      </c>
      <c r="V12">
        <f>COUNTIFS(tblGroupMatch[Away_Team_Number],tblGroupTotals[[#This Row],[Team_Number]],tblGroupMatch[Away_Points],0)</f>
        <v>0</v>
      </c>
      <c r="W12" s="12">
        <f>SUMIFS(tblGroupMatch[Team B Ycs],tblGroupMatch[Away_Team_Number],tblGroupTotals[[#This Row],[Team_Number]])</f>
        <v>0</v>
      </c>
      <c r="X12" s="12">
        <f>SUMIFS(tblGroupMatch[Team B RCs],tblGroupMatch[Away_Team_Number],tblGroupTotals[[#This Row],[Team_Number]])</f>
        <v>0</v>
      </c>
      <c r="Y12" s="12">
        <f>SUMIFS(tblGroupMatch[Team B Penalties],tblGroupMatch[Away_Team_Number],tblGroupTotals[[#This Row],[Team_Number]])</f>
        <v>0</v>
      </c>
      <c r="Z12">
        <f>SUM(tblGroupTotals[[#This Row],[Home_Games]],tblGroupTotals[[#This Row],[Away_Games]])</f>
        <v>0</v>
      </c>
      <c r="AA12" s="12">
        <f>SUM(tblGroupTotals[[#This Row],[Home_Points]],tblGroupTotals[[#This Row],[Away_Points]])</f>
        <v>0</v>
      </c>
      <c r="AB12" s="12">
        <f>tblGroupTotals[[#This Row],[Total_Goals_For]]-tblGroupTotals[[#This Row],[Total_Goals_Against]]</f>
        <v>0</v>
      </c>
      <c r="AC12" s="12">
        <f>SUM(tblGroupTotals[[#This Row],[Home_Goals_For]],tblGroupTotals[[#This Row],[Away_Goals_For]])</f>
        <v>0</v>
      </c>
      <c r="AD12" s="12">
        <f>SUM(tblGroupTotals[[#This Row],[Home_Goals_Against]],tblGroupTotals[[#This Row],[Away_Goals_Against]])</f>
        <v>0</v>
      </c>
      <c r="AE12" s="12">
        <f>SUM(tblGroupTotals[[#This Row],[Home_Wins]],tblGroupTotals[[#This Row],[Away_Wins]])</f>
        <v>0</v>
      </c>
      <c r="AF12" s="12">
        <f>SUM(tblGroupTotals[[#This Row],[Home_Draws]],tblGroupTotals[[#This Row],[Away_Draws]])</f>
        <v>0</v>
      </c>
      <c r="AG12" s="12">
        <f>SUM(tblGroupTotals[[#This Row],[Home_Loses]],tblGroupTotals[[#This Row],[Away_Loses]])</f>
        <v>0</v>
      </c>
      <c r="AH12" s="12">
        <f>SUM(tblGroupTotals[[#This Row],[Home_Yellow_Cards]],tblGroupTotals[[#This Row],[Away_Yellow_Cards]])</f>
        <v>0</v>
      </c>
      <c r="AI12" s="12">
        <f>SUM(tblGroupTotals[[#This Row],[Home_Red_Cards]],tblGroupTotals[[#This Row],[Away_Red_Cards]])</f>
        <v>0</v>
      </c>
      <c r="AJ12" s="12">
        <f>SUM(tblGroupTotals[[#This Row],[Home_Penalties]],tblGroupTotals[[#This Row],[Away_Penalties]])</f>
        <v>0</v>
      </c>
      <c r="AK12" s="12">
        <f>SUM(tblGroupTotals[[#This Row],[Total_Yellow_Cards]],tblGroupTotals[[#This Row],[Total_Red_Cards]]*3)</f>
        <v>0</v>
      </c>
      <c r="AL12" s="12">
        <f>INDEX(lkupTeam[],MATCH(tblGroupTotals[[#This Row],[Team_Code]],lkupTeam[Team_Code],0),MATCH("Qualifier_Rank",lkupTeam[#Headers],0))</f>
        <v>30</v>
      </c>
      <c r="AM12" s="12" t="str">
        <f>tblGroupTotals[[#This Row],[Group_Code]]&amp;tblGroupTotals[[#This Row],[Group_Points_Rank]]&amp;tblGroupTotals[[#This Row],[Group_Number]]</f>
        <v>C12</v>
      </c>
      <c r="AN12" s="12" cm="1">
        <f t="array" ref="AN12">SUMPRODUCT((tblGroupTotals[[#This Row],[Group_Code]]=tblGroupTotals[Group_Code])*(tblGroupTotals[[#This Row],[Total_Points]]&lt;tblGroupTotals[Total_Points]))+1</f>
        <v>1</v>
      </c>
      <c r="AO12"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2"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2" s="12" cm="1">
        <f t="array" ref="AQ12">SUMPRODUCT((tblGroupTotals[[#This Row],[Group_Code]]=tblGroupTotals[Group_Code])*(tblGroupTotals[[#This Row],[Goal_Difference]]&lt;tblGroupTotals[Goal_Difference]))+1</f>
        <v>1</v>
      </c>
      <c r="AR12" s="12" cm="1">
        <f t="array" ref="AR12">SUMPRODUCT((tblGroupTotals[[#This Row],[Group_Code]]=tblGroupTotals[Group_Code])*(tblGroupTotals[[#This Row],[Total_Goals_For]]&lt;tblGroupTotals[Total_Goals_For]))+1</f>
        <v>1</v>
      </c>
      <c r="AS12" s="12" cm="1">
        <f t="array" ref="AS12">SUMPRODUCT((tblGroupTotals[[#This Row],[Group_Code]]=tblGroupTotals[Group_Code])*(tblGroupTotals[[#This Row],[Total_Wins]]&lt;tblGroupTotals[Total_Wins]))+1</f>
        <v>1</v>
      </c>
      <c r="AT12" s="12" cm="1">
        <f t="array" ref="AT12">SUMPRODUCT((tblGroupTotals[[#This Row],[Group_Code]]=tblGroupTotals[Group_Code])*(tblGroupTotals[[#This Row],[Total_Penalties]]&lt;tblGroupTotals[Total_Penalties]))+1</f>
        <v>1</v>
      </c>
      <c r="AU12" s="12" cm="1">
        <f t="array" ref="AU12">SUMPRODUCT((tblGroupTotals[[#This Row],[Group_Code]]=tblGroupTotals[Group_Code])*(tblGroupTotals[[#This Row],[Total_Diciplinary_Points]]&gt;tblGroupTotals[Total_Diciplinary_Points]))+1</f>
        <v>1</v>
      </c>
      <c r="AV12" s="12" cm="1">
        <f t="array" ref="AV12">SUMPRODUCT((tblGroupTotals[[#This Row],[Group_Code]]=tblGroupTotals[Group_Code])*(tblGroupTotals[[#This Row],[Qualifier_Rank_Position]]&gt;tblGroupTotals[Qualifier_Rank_Position]))+1</f>
        <v>4</v>
      </c>
      <c r="AW12"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12" s="12" cm="1">
        <f t="array" aca="1" ref="AX12" ca="1">SUMPRODUCT((tblGroupTotals[[#This Row],[Group_Code]]=tblGroupTotals[Group_Code])*(tblGroupTotals[[#This Row],[Total_Group_Rank_Value]]&gt;tblGroupTotals[Total_Group_Rank_Value]))+1</f>
        <v>4</v>
      </c>
      <c r="AY12" s="12" t="str">
        <f ca="1">tblGroupTotals[[#This Row],[Group_Code]]&amp;tblGroupTotals[[#This Row],[Group_Rank]]</f>
        <v>C4</v>
      </c>
    </row>
    <row r="13" spans="2:51" x14ac:dyDescent="0.25">
      <c r="B13" t="s">
        <v>225</v>
      </c>
      <c r="C13" s="12" t="str">
        <f>LEFT(tblGroupTotals[[#This Row],[Team_Code]],1)</f>
        <v>C</v>
      </c>
      <c r="D13" s="12" t="str">
        <f>RIGHT(tblGroupTotals[[#This Row],[Team_Code]],1)</f>
        <v>3</v>
      </c>
      <c r="E13" s="12">
        <f>INDEX(lkupTeam[],MATCH(tblGroupTotals[[#This Row],[Team_Code]],lkupTeam[Team_Code],0),MATCH("Team_Number",lkupTeam[#Headers],0))</f>
        <v>11</v>
      </c>
      <c r="F13">
        <f>COUNTIFS(tblGroupMatch[Home_Team_Number],tblGroupTotals[[#This Row],[Team_Number]],tblGroupMatch[Is_Complete],TRUE)</f>
        <v>0</v>
      </c>
      <c r="G13" s="12">
        <f>SUMIFS(tblGroupMatch[Home_Points],tblGroupMatch[Home_Team_Number],tblGroupTotals[[#This Row],[Team_Number]])</f>
        <v>0</v>
      </c>
      <c r="H13" s="12">
        <f>SUMIFS(tblGroupMatch[Team A Goals],tblGroupMatch[Home_Team_Number],tblGroupTotals[[#This Row],[Team_Number]])</f>
        <v>0</v>
      </c>
      <c r="I13" s="12">
        <f>SUMIFS(tblGroupMatch[Team B Goals],tblGroupMatch[Home_Team_Number],tblGroupTotals[[#This Row],[Team_Number]])</f>
        <v>0</v>
      </c>
      <c r="J13">
        <f>COUNTIFS(tblGroupMatch[Home_Team_Number],tblGroupTotals[[#This Row],[Team_Number]],tblGroupMatch[Home_Points],3)</f>
        <v>0</v>
      </c>
      <c r="K13">
        <f>COUNTIFS(tblGroupMatch[Home_Team_Number],tblGroupTotals[[#This Row],[Team_Number]],tblGroupMatch[Home_Points],1)</f>
        <v>0</v>
      </c>
      <c r="L13">
        <f>COUNTIFS(tblGroupMatch[Home_Team_Number],tblGroupTotals[[#This Row],[Team_Number]],tblGroupMatch[Home_Points],0)</f>
        <v>0</v>
      </c>
      <c r="M13" s="12">
        <f>SUMIFS(tblGroupMatch[Team A YCs],tblGroupMatch[Home_Team_Number],tblGroupTotals[[#This Row],[Team_Number]])</f>
        <v>0</v>
      </c>
      <c r="N13" s="12">
        <f>SUMIFS(tblGroupMatch[Team A RCs],tblGroupMatch[Home_Team_Number],tblGroupTotals[[#This Row],[Team_Number]])</f>
        <v>0</v>
      </c>
      <c r="O13" s="12">
        <f>SUMIFS(tblGroupMatch[Team A Penalties],tblGroupMatch[Home_Team_Number],tblGroupTotals[[#This Row],[Team_Number]])</f>
        <v>0</v>
      </c>
      <c r="P13">
        <f>COUNTIFS(tblGroupMatch[Away_Team_Number],tblGroupTotals[[#This Row],[Team_Number]],tblGroupMatch[Is_Complete],TRUE)</f>
        <v>0</v>
      </c>
      <c r="Q13" s="12">
        <f>SUMIFS(tblGroupMatch[Away_Points],tblGroupMatch[Away_Team_Number],tblGroupTotals[[#This Row],[Team_Number]])</f>
        <v>0</v>
      </c>
      <c r="R13" s="12">
        <f>SUMIFS(tblGroupMatch[Team B Goals],tblGroupMatch[Away_Team_Number],tblGroupTotals[[#This Row],[Team_Number]])</f>
        <v>0</v>
      </c>
      <c r="S13" s="12">
        <f>SUMIFS(tblGroupMatch[Team A Goals],tblGroupMatch[Away_Team_Number],tblGroupTotals[[#This Row],[Team_Number]])</f>
        <v>0</v>
      </c>
      <c r="T13">
        <f>COUNTIFS(tblGroupMatch[Away_Team_Number],tblGroupTotals[[#This Row],[Team_Number]],tblGroupMatch[Away_Points],3)</f>
        <v>0</v>
      </c>
      <c r="U13">
        <f>COUNTIFS(tblGroupMatch[Away_Team_Number],tblGroupTotals[[#This Row],[Team_Number]],tblGroupMatch[Away_Points],1)</f>
        <v>0</v>
      </c>
      <c r="V13">
        <f>COUNTIFS(tblGroupMatch[Away_Team_Number],tblGroupTotals[[#This Row],[Team_Number]],tblGroupMatch[Away_Points],0)</f>
        <v>0</v>
      </c>
      <c r="W13" s="12">
        <f>SUMIFS(tblGroupMatch[Team B Ycs],tblGroupMatch[Away_Team_Number],tblGroupTotals[[#This Row],[Team_Number]])</f>
        <v>0</v>
      </c>
      <c r="X13" s="12">
        <f>SUMIFS(tblGroupMatch[Team B RCs],tblGroupMatch[Away_Team_Number],tblGroupTotals[[#This Row],[Team_Number]])</f>
        <v>0</v>
      </c>
      <c r="Y13" s="12">
        <f>SUMIFS(tblGroupMatch[Team B Penalties],tblGroupMatch[Away_Team_Number],tblGroupTotals[[#This Row],[Team_Number]])</f>
        <v>0</v>
      </c>
      <c r="Z13">
        <f>SUM(tblGroupTotals[[#This Row],[Home_Games]],tblGroupTotals[[#This Row],[Away_Games]])</f>
        <v>0</v>
      </c>
      <c r="AA13" s="12">
        <f>SUM(tblGroupTotals[[#This Row],[Home_Points]],tblGroupTotals[[#This Row],[Away_Points]])</f>
        <v>0</v>
      </c>
      <c r="AB13" s="12">
        <f>tblGroupTotals[[#This Row],[Total_Goals_For]]-tblGroupTotals[[#This Row],[Total_Goals_Against]]</f>
        <v>0</v>
      </c>
      <c r="AC13" s="12">
        <f>SUM(tblGroupTotals[[#This Row],[Home_Goals_For]],tblGroupTotals[[#This Row],[Away_Goals_For]])</f>
        <v>0</v>
      </c>
      <c r="AD13" s="12">
        <f>SUM(tblGroupTotals[[#This Row],[Home_Goals_Against]],tblGroupTotals[[#This Row],[Away_Goals_Against]])</f>
        <v>0</v>
      </c>
      <c r="AE13" s="12">
        <f>SUM(tblGroupTotals[[#This Row],[Home_Wins]],tblGroupTotals[[#This Row],[Away_Wins]])</f>
        <v>0</v>
      </c>
      <c r="AF13" s="12">
        <f>SUM(tblGroupTotals[[#This Row],[Home_Draws]],tblGroupTotals[[#This Row],[Away_Draws]])</f>
        <v>0</v>
      </c>
      <c r="AG13" s="12">
        <f>SUM(tblGroupTotals[[#This Row],[Home_Loses]],tblGroupTotals[[#This Row],[Away_Loses]])</f>
        <v>0</v>
      </c>
      <c r="AH13" s="12">
        <f>SUM(tblGroupTotals[[#This Row],[Home_Yellow_Cards]],tblGroupTotals[[#This Row],[Away_Yellow_Cards]])</f>
        <v>0</v>
      </c>
      <c r="AI13" s="12">
        <f>SUM(tblGroupTotals[[#This Row],[Home_Red_Cards]],tblGroupTotals[[#This Row],[Away_Red_Cards]])</f>
        <v>0</v>
      </c>
      <c r="AJ13" s="12">
        <f>SUM(tblGroupTotals[[#This Row],[Home_Penalties]],tblGroupTotals[[#This Row],[Away_Penalties]])</f>
        <v>0</v>
      </c>
      <c r="AK13" s="12">
        <f>SUM(tblGroupTotals[[#This Row],[Total_Yellow_Cards]],tblGroupTotals[[#This Row],[Total_Red_Cards]]*3)</f>
        <v>0</v>
      </c>
      <c r="AL13" s="12">
        <f>INDEX(lkupTeam[],MATCH(tblGroupTotals[[#This Row],[Team_Code]],lkupTeam[Team_Code],0),MATCH("Qualifier_Rank",lkupTeam[#Headers],0))</f>
        <v>11</v>
      </c>
      <c r="AM13" s="12" t="str">
        <f>tblGroupTotals[[#This Row],[Group_Code]]&amp;tblGroupTotals[[#This Row],[Group_Points_Rank]]&amp;tblGroupTotals[[#This Row],[Group_Number]]</f>
        <v>C13</v>
      </c>
      <c r="AN13" s="12" cm="1">
        <f t="array" ref="AN13">SUMPRODUCT((tblGroupTotals[[#This Row],[Group_Code]]=tblGroupTotals[Group_Code])*(tblGroupTotals[[#This Row],[Total_Points]]&lt;tblGroupTotals[Total_Points]))+1</f>
        <v>1</v>
      </c>
      <c r="AO13"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3"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3" s="12" cm="1">
        <f t="array" ref="AQ13">SUMPRODUCT((tblGroupTotals[[#This Row],[Group_Code]]=tblGroupTotals[Group_Code])*(tblGroupTotals[[#This Row],[Goal_Difference]]&lt;tblGroupTotals[Goal_Difference]))+1</f>
        <v>1</v>
      </c>
      <c r="AR13" s="12" cm="1">
        <f t="array" ref="AR13">SUMPRODUCT((tblGroupTotals[[#This Row],[Group_Code]]=tblGroupTotals[Group_Code])*(tblGroupTotals[[#This Row],[Total_Goals_For]]&lt;tblGroupTotals[Total_Goals_For]))+1</f>
        <v>1</v>
      </c>
      <c r="AS13" s="12" cm="1">
        <f t="array" ref="AS13">SUMPRODUCT((tblGroupTotals[[#This Row],[Group_Code]]=tblGroupTotals[Group_Code])*(tblGroupTotals[[#This Row],[Total_Wins]]&lt;tblGroupTotals[Total_Wins]))+1</f>
        <v>1</v>
      </c>
      <c r="AT13" s="12" cm="1">
        <f t="array" ref="AT13">SUMPRODUCT((tblGroupTotals[[#This Row],[Group_Code]]=tblGroupTotals[Group_Code])*(tblGroupTotals[[#This Row],[Total_Penalties]]&lt;tblGroupTotals[Total_Penalties]))+1</f>
        <v>1</v>
      </c>
      <c r="AU13" s="12" cm="1">
        <f t="array" ref="AU13">SUMPRODUCT((tblGroupTotals[[#This Row],[Group_Code]]=tblGroupTotals[Group_Code])*(tblGroupTotals[[#This Row],[Total_Diciplinary_Points]]&gt;tblGroupTotals[Total_Diciplinary_Points]))+1</f>
        <v>1</v>
      </c>
      <c r="AV13" s="12" cm="1">
        <f t="array" ref="AV13">SUMPRODUCT((tblGroupTotals[[#This Row],[Group_Code]]=tblGroupTotals[Group_Code])*(tblGroupTotals[[#This Row],[Qualifier_Rank_Position]]&gt;tblGroupTotals[Qualifier_Rank_Position]))+1</f>
        <v>2</v>
      </c>
      <c r="AW13"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13" s="12" cm="1">
        <f t="array" aca="1" ref="AX13" ca="1">SUMPRODUCT((tblGroupTotals[[#This Row],[Group_Code]]=tblGroupTotals[Group_Code])*(tblGroupTotals[[#This Row],[Total_Group_Rank_Value]]&gt;tblGroupTotals[Total_Group_Rank_Value]))+1</f>
        <v>2</v>
      </c>
      <c r="AY13" s="12" t="str">
        <f ca="1">tblGroupTotals[[#This Row],[Group_Code]]&amp;tblGroupTotals[[#This Row],[Group_Rank]]</f>
        <v>C2</v>
      </c>
    </row>
    <row r="14" spans="2:51" x14ac:dyDescent="0.25">
      <c r="B14" t="s">
        <v>226</v>
      </c>
      <c r="C14" s="12" t="str">
        <f>LEFT(tblGroupTotals[[#This Row],[Team_Code]],1)</f>
        <v>C</v>
      </c>
      <c r="D14" s="12" t="str">
        <f>RIGHT(tblGroupTotals[[#This Row],[Team_Code]],1)</f>
        <v>4</v>
      </c>
      <c r="E14" s="12">
        <f>INDEX(lkupTeam[],MATCH(tblGroupTotals[[#This Row],[Team_Code]],lkupTeam[Team_Code],0),MATCH("Team_Number",lkupTeam[#Headers],0))</f>
        <v>12</v>
      </c>
      <c r="F14">
        <f>COUNTIFS(tblGroupMatch[Home_Team_Number],tblGroupTotals[[#This Row],[Team_Number]],tblGroupMatch[Is_Complete],TRUE)</f>
        <v>0</v>
      </c>
      <c r="G14" s="12">
        <f>SUMIFS(tblGroupMatch[Home_Points],tblGroupMatch[Home_Team_Number],tblGroupTotals[[#This Row],[Team_Number]])</f>
        <v>0</v>
      </c>
      <c r="H14" s="12">
        <f>SUMIFS(tblGroupMatch[Team A Goals],tblGroupMatch[Home_Team_Number],tblGroupTotals[[#This Row],[Team_Number]])</f>
        <v>0</v>
      </c>
      <c r="I14" s="12">
        <f>SUMIFS(tblGroupMatch[Team B Goals],tblGroupMatch[Home_Team_Number],tblGroupTotals[[#This Row],[Team_Number]])</f>
        <v>0</v>
      </c>
      <c r="J14">
        <f>COUNTIFS(tblGroupMatch[Home_Team_Number],tblGroupTotals[[#This Row],[Team_Number]],tblGroupMatch[Home_Points],3)</f>
        <v>0</v>
      </c>
      <c r="K14">
        <f>COUNTIFS(tblGroupMatch[Home_Team_Number],tblGroupTotals[[#This Row],[Team_Number]],tblGroupMatch[Home_Points],1)</f>
        <v>0</v>
      </c>
      <c r="L14">
        <f>COUNTIFS(tblGroupMatch[Home_Team_Number],tblGroupTotals[[#This Row],[Team_Number]],tblGroupMatch[Home_Points],0)</f>
        <v>0</v>
      </c>
      <c r="M14" s="12">
        <f>SUMIFS(tblGroupMatch[Team A YCs],tblGroupMatch[Home_Team_Number],tblGroupTotals[[#This Row],[Team_Number]])</f>
        <v>0</v>
      </c>
      <c r="N14" s="12">
        <f>SUMIFS(tblGroupMatch[Team A RCs],tblGroupMatch[Home_Team_Number],tblGroupTotals[[#This Row],[Team_Number]])</f>
        <v>0</v>
      </c>
      <c r="O14" s="12">
        <f>SUMIFS(tblGroupMatch[Team A Penalties],tblGroupMatch[Home_Team_Number],tblGroupTotals[[#This Row],[Team_Number]])</f>
        <v>0</v>
      </c>
      <c r="P14">
        <f>COUNTIFS(tblGroupMatch[Away_Team_Number],tblGroupTotals[[#This Row],[Team_Number]],tblGroupMatch[Is_Complete],TRUE)</f>
        <v>0</v>
      </c>
      <c r="Q14" s="12">
        <f>SUMIFS(tblGroupMatch[Away_Points],tblGroupMatch[Away_Team_Number],tblGroupTotals[[#This Row],[Team_Number]])</f>
        <v>0</v>
      </c>
      <c r="R14" s="12">
        <f>SUMIFS(tblGroupMatch[Team B Goals],tblGroupMatch[Away_Team_Number],tblGroupTotals[[#This Row],[Team_Number]])</f>
        <v>0</v>
      </c>
      <c r="S14" s="12">
        <f>SUMIFS(tblGroupMatch[Team A Goals],tblGroupMatch[Away_Team_Number],tblGroupTotals[[#This Row],[Team_Number]])</f>
        <v>0</v>
      </c>
      <c r="T14">
        <f>COUNTIFS(tblGroupMatch[Away_Team_Number],tblGroupTotals[[#This Row],[Team_Number]],tblGroupMatch[Away_Points],3)</f>
        <v>0</v>
      </c>
      <c r="U14">
        <f>COUNTIFS(tblGroupMatch[Away_Team_Number],tblGroupTotals[[#This Row],[Team_Number]],tblGroupMatch[Away_Points],1)</f>
        <v>0</v>
      </c>
      <c r="V14">
        <f>COUNTIFS(tblGroupMatch[Away_Team_Number],tblGroupTotals[[#This Row],[Team_Number]],tblGroupMatch[Away_Points],0)</f>
        <v>0</v>
      </c>
      <c r="W14" s="12">
        <f>SUMIFS(tblGroupMatch[Team B Ycs],tblGroupMatch[Away_Team_Number],tblGroupTotals[[#This Row],[Team_Number]])</f>
        <v>0</v>
      </c>
      <c r="X14" s="12">
        <f>SUMIFS(tblGroupMatch[Team B RCs],tblGroupMatch[Away_Team_Number],tblGroupTotals[[#This Row],[Team_Number]])</f>
        <v>0</v>
      </c>
      <c r="Y14" s="12">
        <f>SUMIFS(tblGroupMatch[Team B Penalties],tblGroupMatch[Away_Team_Number],tblGroupTotals[[#This Row],[Team_Number]])</f>
        <v>0</v>
      </c>
      <c r="Z14">
        <f>SUM(tblGroupTotals[[#This Row],[Home_Games]],tblGroupTotals[[#This Row],[Away_Games]])</f>
        <v>0</v>
      </c>
      <c r="AA14" s="12">
        <f>SUM(tblGroupTotals[[#This Row],[Home_Points]],tblGroupTotals[[#This Row],[Away_Points]])</f>
        <v>0</v>
      </c>
      <c r="AB14" s="12">
        <f>tblGroupTotals[[#This Row],[Total_Goals_For]]-tblGroupTotals[[#This Row],[Total_Goals_Against]]</f>
        <v>0</v>
      </c>
      <c r="AC14" s="12">
        <f>SUM(tblGroupTotals[[#This Row],[Home_Goals_For]],tblGroupTotals[[#This Row],[Away_Goals_For]])</f>
        <v>0</v>
      </c>
      <c r="AD14" s="12">
        <f>SUM(tblGroupTotals[[#This Row],[Home_Goals_Against]],tblGroupTotals[[#This Row],[Away_Goals_Against]])</f>
        <v>0</v>
      </c>
      <c r="AE14" s="12">
        <f>SUM(tblGroupTotals[[#This Row],[Home_Wins]],tblGroupTotals[[#This Row],[Away_Wins]])</f>
        <v>0</v>
      </c>
      <c r="AF14" s="12">
        <f>SUM(tblGroupTotals[[#This Row],[Home_Draws]],tblGroupTotals[[#This Row],[Away_Draws]])</f>
        <v>0</v>
      </c>
      <c r="AG14" s="12">
        <f>SUM(tblGroupTotals[[#This Row],[Home_Loses]],tblGroupTotals[[#This Row],[Away_Loses]])</f>
        <v>0</v>
      </c>
      <c r="AH14" s="12">
        <f>SUM(tblGroupTotals[[#This Row],[Home_Yellow_Cards]],tblGroupTotals[[#This Row],[Away_Yellow_Cards]])</f>
        <v>0</v>
      </c>
      <c r="AI14" s="12">
        <f>SUM(tblGroupTotals[[#This Row],[Home_Red_Cards]],tblGroupTotals[[#This Row],[Away_Red_Cards]])</f>
        <v>0</v>
      </c>
      <c r="AJ14" s="12">
        <f>SUM(tblGroupTotals[[#This Row],[Home_Penalties]],tblGroupTotals[[#This Row],[Away_Penalties]])</f>
        <v>0</v>
      </c>
      <c r="AK14" s="12">
        <f>SUM(tblGroupTotals[[#This Row],[Total_Yellow_Cards]],tblGroupTotals[[#This Row],[Total_Red_Cards]]*3)</f>
        <v>0</v>
      </c>
      <c r="AL14" s="12">
        <f>INDEX(lkupTeam[],MATCH(tblGroupTotals[[#This Row],[Team_Code]],lkupTeam[Team_Code],0),MATCH("Qualifier_Rank",lkupTeam[#Headers],0))</f>
        <v>6</v>
      </c>
      <c r="AM14" s="12" t="str">
        <f>tblGroupTotals[[#This Row],[Group_Code]]&amp;tblGroupTotals[[#This Row],[Group_Points_Rank]]&amp;tblGroupTotals[[#This Row],[Group_Number]]</f>
        <v>C14</v>
      </c>
      <c r="AN14" s="12" cm="1">
        <f t="array" ref="AN14">SUMPRODUCT((tblGroupTotals[[#This Row],[Group_Code]]=tblGroupTotals[Group_Code])*(tblGroupTotals[[#This Row],[Total_Points]]&lt;tblGroupTotals[Total_Points]))+1</f>
        <v>1</v>
      </c>
      <c r="AO14"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4"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4" s="12" cm="1">
        <f t="array" ref="AQ14">SUMPRODUCT((tblGroupTotals[[#This Row],[Group_Code]]=tblGroupTotals[Group_Code])*(tblGroupTotals[[#This Row],[Goal_Difference]]&lt;tblGroupTotals[Goal_Difference]))+1</f>
        <v>1</v>
      </c>
      <c r="AR14" s="12" cm="1">
        <f t="array" ref="AR14">SUMPRODUCT((tblGroupTotals[[#This Row],[Group_Code]]=tblGroupTotals[Group_Code])*(tblGroupTotals[[#This Row],[Total_Goals_For]]&lt;tblGroupTotals[Total_Goals_For]))+1</f>
        <v>1</v>
      </c>
      <c r="AS14" s="12" cm="1">
        <f t="array" ref="AS14">SUMPRODUCT((tblGroupTotals[[#This Row],[Group_Code]]=tblGroupTotals[Group_Code])*(tblGroupTotals[[#This Row],[Total_Wins]]&lt;tblGroupTotals[Total_Wins]))+1</f>
        <v>1</v>
      </c>
      <c r="AT14" s="12" cm="1">
        <f t="array" ref="AT14">SUMPRODUCT((tblGroupTotals[[#This Row],[Group_Code]]=tblGroupTotals[Group_Code])*(tblGroupTotals[[#This Row],[Total_Penalties]]&lt;tblGroupTotals[Total_Penalties]))+1</f>
        <v>1</v>
      </c>
      <c r="AU14" s="12" cm="1">
        <f t="array" ref="AU14">SUMPRODUCT((tblGroupTotals[[#This Row],[Group_Code]]=tblGroupTotals[Group_Code])*(tblGroupTotals[[#This Row],[Total_Diciplinary_Points]]&gt;tblGroupTotals[Total_Diciplinary_Points]))+1</f>
        <v>1</v>
      </c>
      <c r="AV14" s="12" cm="1">
        <f t="array" ref="AV14">SUMPRODUCT((tblGroupTotals[[#This Row],[Group_Code]]=tblGroupTotals[Group_Code])*(tblGroupTotals[[#This Row],[Qualifier_Rank_Position]]&gt;tblGroupTotals[Qualifier_Rank_Position]))+1</f>
        <v>1</v>
      </c>
      <c r="AW14"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14" s="12" cm="1">
        <f t="array" aca="1" ref="AX14" ca="1">SUMPRODUCT((tblGroupTotals[[#This Row],[Group_Code]]=tblGroupTotals[Group_Code])*(tblGroupTotals[[#This Row],[Total_Group_Rank_Value]]&gt;tblGroupTotals[Total_Group_Rank_Value]))+1</f>
        <v>1</v>
      </c>
      <c r="AY14" s="12" t="str">
        <f ca="1">tblGroupTotals[[#This Row],[Group_Code]]&amp;tblGroupTotals[[#This Row],[Group_Rank]]</f>
        <v>C1</v>
      </c>
    </row>
    <row r="15" spans="2:51" x14ac:dyDescent="0.25">
      <c r="B15" t="s">
        <v>227</v>
      </c>
      <c r="C15" s="12" t="str">
        <f>LEFT(tblGroupTotals[[#This Row],[Team_Code]],1)</f>
        <v>D</v>
      </c>
      <c r="D15" s="12" t="str">
        <f>RIGHT(tblGroupTotals[[#This Row],[Team_Code]],1)</f>
        <v>1</v>
      </c>
      <c r="E15" s="12">
        <f>INDEX(lkupTeam[],MATCH(tblGroupTotals[[#This Row],[Team_Code]],lkupTeam[Team_Code],0),MATCH("Team_Number",lkupTeam[#Headers],0))</f>
        <v>13</v>
      </c>
      <c r="F15">
        <f>COUNTIFS(tblGroupMatch[Home_Team_Number],tblGroupTotals[[#This Row],[Team_Number]],tblGroupMatch[Is_Complete],TRUE)</f>
        <v>0</v>
      </c>
      <c r="G15" s="12">
        <f>SUMIFS(tblGroupMatch[Home_Points],tblGroupMatch[Home_Team_Number],tblGroupTotals[[#This Row],[Team_Number]])</f>
        <v>0</v>
      </c>
      <c r="H15" s="12">
        <f>SUMIFS(tblGroupMatch[Team A Goals],tblGroupMatch[Home_Team_Number],tblGroupTotals[[#This Row],[Team_Number]])</f>
        <v>0</v>
      </c>
      <c r="I15" s="12">
        <f>SUMIFS(tblGroupMatch[Team B Goals],tblGroupMatch[Home_Team_Number],tblGroupTotals[[#This Row],[Team_Number]])</f>
        <v>0</v>
      </c>
      <c r="J15">
        <f>COUNTIFS(tblGroupMatch[Home_Team_Number],tblGroupTotals[[#This Row],[Team_Number]],tblGroupMatch[Home_Points],3)</f>
        <v>0</v>
      </c>
      <c r="K15">
        <f>COUNTIFS(tblGroupMatch[Home_Team_Number],tblGroupTotals[[#This Row],[Team_Number]],tblGroupMatch[Home_Points],1)</f>
        <v>0</v>
      </c>
      <c r="L15">
        <f>COUNTIFS(tblGroupMatch[Home_Team_Number],tblGroupTotals[[#This Row],[Team_Number]],tblGroupMatch[Home_Points],0)</f>
        <v>0</v>
      </c>
      <c r="M15" s="12">
        <f>SUMIFS(tblGroupMatch[Team A YCs],tblGroupMatch[Home_Team_Number],tblGroupTotals[[#This Row],[Team_Number]])</f>
        <v>0</v>
      </c>
      <c r="N15" s="12">
        <f>SUMIFS(tblGroupMatch[Team A RCs],tblGroupMatch[Home_Team_Number],tblGroupTotals[[#This Row],[Team_Number]])</f>
        <v>0</v>
      </c>
      <c r="O15" s="12">
        <f>SUMIFS(tblGroupMatch[Team A Penalties],tblGroupMatch[Home_Team_Number],tblGroupTotals[[#This Row],[Team_Number]])</f>
        <v>0</v>
      </c>
      <c r="P15">
        <f>COUNTIFS(tblGroupMatch[Away_Team_Number],tblGroupTotals[[#This Row],[Team_Number]],tblGroupMatch[Is_Complete],TRUE)</f>
        <v>0</v>
      </c>
      <c r="Q15" s="12">
        <f>SUMIFS(tblGroupMatch[Away_Points],tblGroupMatch[Away_Team_Number],tblGroupTotals[[#This Row],[Team_Number]])</f>
        <v>0</v>
      </c>
      <c r="R15" s="12">
        <f>SUMIFS(tblGroupMatch[Team B Goals],tblGroupMatch[Away_Team_Number],tblGroupTotals[[#This Row],[Team_Number]])</f>
        <v>0</v>
      </c>
      <c r="S15" s="12">
        <f>SUMIFS(tblGroupMatch[Team A Goals],tblGroupMatch[Away_Team_Number],tblGroupTotals[[#This Row],[Team_Number]])</f>
        <v>0</v>
      </c>
      <c r="T15">
        <f>COUNTIFS(tblGroupMatch[Away_Team_Number],tblGroupTotals[[#This Row],[Team_Number]],tblGroupMatch[Away_Points],3)</f>
        <v>0</v>
      </c>
      <c r="U15">
        <f>COUNTIFS(tblGroupMatch[Away_Team_Number],tblGroupTotals[[#This Row],[Team_Number]],tblGroupMatch[Away_Points],1)</f>
        <v>0</v>
      </c>
      <c r="V15">
        <f>COUNTIFS(tblGroupMatch[Away_Team_Number],tblGroupTotals[[#This Row],[Team_Number]],tblGroupMatch[Away_Points],0)</f>
        <v>0</v>
      </c>
      <c r="W15" s="12">
        <f>SUMIFS(tblGroupMatch[Team B Ycs],tblGroupMatch[Away_Team_Number],tblGroupTotals[[#This Row],[Team_Number]])</f>
        <v>0</v>
      </c>
      <c r="X15" s="12">
        <f>SUMIFS(tblGroupMatch[Team B RCs],tblGroupMatch[Away_Team_Number],tblGroupTotals[[#This Row],[Team_Number]])</f>
        <v>0</v>
      </c>
      <c r="Y15" s="12">
        <f>SUMIFS(tblGroupMatch[Team B Penalties],tblGroupMatch[Away_Team_Number],tblGroupTotals[[#This Row],[Team_Number]])</f>
        <v>0</v>
      </c>
      <c r="Z15">
        <f>SUM(tblGroupTotals[[#This Row],[Home_Games]],tblGroupTotals[[#This Row],[Away_Games]])</f>
        <v>0</v>
      </c>
      <c r="AA15" s="12">
        <f>SUM(tblGroupTotals[[#This Row],[Home_Points]],tblGroupTotals[[#This Row],[Away_Points]])</f>
        <v>0</v>
      </c>
      <c r="AB15" s="12">
        <f>tblGroupTotals[[#This Row],[Total_Goals_For]]-tblGroupTotals[[#This Row],[Total_Goals_Against]]</f>
        <v>0</v>
      </c>
      <c r="AC15" s="12">
        <f>SUM(tblGroupTotals[[#This Row],[Home_Goals_For]],tblGroupTotals[[#This Row],[Away_Goals_For]])</f>
        <v>0</v>
      </c>
      <c r="AD15" s="12">
        <f>SUM(tblGroupTotals[[#This Row],[Home_Goals_Against]],tblGroupTotals[[#This Row],[Away_Goals_Against]])</f>
        <v>0</v>
      </c>
      <c r="AE15" s="12">
        <f>SUM(tblGroupTotals[[#This Row],[Home_Wins]],tblGroupTotals[[#This Row],[Away_Wins]])</f>
        <v>0</v>
      </c>
      <c r="AF15" s="12">
        <f>SUM(tblGroupTotals[[#This Row],[Home_Draws]],tblGroupTotals[[#This Row],[Away_Draws]])</f>
        <v>0</v>
      </c>
      <c r="AG15" s="12">
        <f>SUM(tblGroupTotals[[#This Row],[Home_Loses]],tblGroupTotals[[#This Row],[Away_Loses]])</f>
        <v>0</v>
      </c>
      <c r="AH15" s="12">
        <f>SUM(tblGroupTotals[[#This Row],[Home_Yellow_Cards]],tblGroupTotals[[#This Row],[Away_Yellow_Cards]])</f>
        <v>0</v>
      </c>
      <c r="AI15" s="12">
        <f>SUM(tblGroupTotals[[#This Row],[Home_Red_Cards]],tblGroupTotals[[#This Row],[Away_Red_Cards]])</f>
        <v>0</v>
      </c>
      <c r="AJ15" s="12">
        <f>SUM(tblGroupTotals[[#This Row],[Home_Penalties]],tblGroupTotals[[#This Row],[Away_Penalties]])</f>
        <v>0</v>
      </c>
      <c r="AK15" s="12">
        <f>SUM(tblGroupTotals[[#This Row],[Total_Yellow_Cards]],tblGroupTotals[[#This Row],[Total_Red_Cards]]*3)</f>
        <v>0</v>
      </c>
      <c r="AL15" s="12">
        <f>INDEX(lkupTeam[],MATCH(tblGroupTotals[[#This Row],[Team_Code]],lkupTeam[Team_Code],0),MATCH("Qualifier_Rank",lkupTeam[#Headers],0))</f>
        <v>3</v>
      </c>
      <c r="AM15" s="12" t="str">
        <f>tblGroupTotals[[#This Row],[Group_Code]]&amp;tblGroupTotals[[#This Row],[Group_Points_Rank]]&amp;tblGroupTotals[[#This Row],[Group_Number]]</f>
        <v>D11</v>
      </c>
      <c r="AN15" s="12" cm="1">
        <f t="array" ref="AN15">SUMPRODUCT((tblGroupTotals[[#This Row],[Group_Code]]=tblGroupTotals[Group_Code])*(tblGroupTotals[[#This Row],[Total_Points]]&lt;tblGroupTotals[Total_Points]))+1</f>
        <v>1</v>
      </c>
      <c r="AO15"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5"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5" s="12" cm="1">
        <f t="array" ref="AQ15">SUMPRODUCT((tblGroupTotals[[#This Row],[Group_Code]]=tblGroupTotals[Group_Code])*(tblGroupTotals[[#This Row],[Goal_Difference]]&lt;tblGroupTotals[Goal_Difference]))+1</f>
        <v>1</v>
      </c>
      <c r="AR15" s="12" cm="1">
        <f t="array" ref="AR15">SUMPRODUCT((tblGroupTotals[[#This Row],[Group_Code]]=tblGroupTotals[Group_Code])*(tblGroupTotals[[#This Row],[Total_Goals_For]]&lt;tblGroupTotals[Total_Goals_For]))+1</f>
        <v>1</v>
      </c>
      <c r="AS15" s="12" cm="1">
        <f t="array" ref="AS15">SUMPRODUCT((tblGroupTotals[[#This Row],[Group_Code]]=tblGroupTotals[Group_Code])*(tblGroupTotals[[#This Row],[Total_Wins]]&lt;tblGroupTotals[Total_Wins]))+1</f>
        <v>1</v>
      </c>
      <c r="AT15" s="12" cm="1">
        <f t="array" ref="AT15">SUMPRODUCT((tblGroupTotals[[#This Row],[Group_Code]]=tblGroupTotals[Group_Code])*(tblGroupTotals[[#This Row],[Total_Penalties]]&lt;tblGroupTotals[Total_Penalties]))+1</f>
        <v>1</v>
      </c>
      <c r="AU15" s="12" cm="1">
        <f t="array" ref="AU15">SUMPRODUCT((tblGroupTotals[[#This Row],[Group_Code]]=tblGroupTotals[Group_Code])*(tblGroupTotals[[#This Row],[Total_Diciplinary_Points]]&gt;tblGroupTotals[Total_Diciplinary_Points]))+1</f>
        <v>1</v>
      </c>
      <c r="AV15" s="12" cm="1">
        <f t="array" ref="AV15">SUMPRODUCT((tblGroupTotals[[#This Row],[Group_Code]]=tblGroupTotals[Group_Code])*(tblGroupTotals[[#This Row],[Qualifier_Rank_Position]]&gt;tblGroupTotals[Qualifier_Rank_Position]))+1</f>
        <v>1</v>
      </c>
      <c r="AW15"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15" s="12" cm="1">
        <f t="array" aca="1" ref="AX15" ca="1">SUMPRODUCT((tblGroupTotals[[#This Row],[Group_Code]]=tblGroupTotals[Group_Code])*(tblGroupTotals[[#This Row],[Total_Group_Rank_Value]]&gt;tblGroupTotals[Total_Group_Rank_Value]))+1</f>
        <v>1</v>
      </c>
      <c r="AY15" s="12" t="str">
        <f ca="1">tblGroupTotals[[#This Row],[Group_Code]]&amp;tblGroupTotals[[#This Row],[Group_Rank]]</f>
        <v>D1</v>
      </c>
    </row>
    <row r="16" spans="2:51" x14ac:dyDescent="0.25">
      <c r="B16" t="s">
        <v>228</v>
      </c>
      <c r="C16" s="12" t="str">
        <f>LEFT(tblGroupTotals[[#This Row],[Team_Code]],1)</f>
        <v>D</v>
      </c>
      <c r="D16" s="12" t="str">
        <f>RIGHT(tblGroupTotals[[#This Row],[Team_Code]],1)</f>
        <v>2</v>
      </c>
      <c r="E16" s="12">
        <f>INDEX(lkupTeam[],MATCH(tblGroupTotals[[#This Row],[Team_Code]],lkupTeam[Team_Code],0),MATCH("Team_Number",lkupTeam[#Headers],0))</f>
        <v>14</v>
      </c>
      <c r="F16">
        <f>COUNTIFS(tblGroupMatch[Home_Team_Number],tblGroupTotals[[#This Row],[Team_Number]],tblGroupMatch[Is_Complete],TRUE)</f>
        <v>0</v>
      </c>
      <c r="G16" s="12">
        <f>SUMIFS(tblGroupMatch[Home_Points],tblGroupMatch[Home_Team_Number],tblGroupTotals[[#This Row],[Team_Number]])</f>
        <v>0</v>
      </c>
      <c r="H16" s="12">
        <f>SUMIFS(tblGroupMatch[Team A Goals],tblGroupMatch[Home_Team_Number],tblGroupTotals[[#This Row],[Team_Number]])</f>
        <v>0</v>
      </c>
      <c r="I16" s="12">
        <f>SUMIFS(tblGroupMatch[Team B Goals],tblGroupMatch[Home_Team_Number],tblGroupTotals[[#This Row],[Team_Number]])</f>
        <v>0</v>
      </c>
      <c r="J16">
        <f>COUNTIFS(tblGroupMatch[Home_Team_Number],tblGroupTotals[[#This Row],[Team_Number]],tblGroupMatch[Home_Points],3)</f>
        <v>0</v>
      </c>
      <c r="K16">
        <f>COUNTIFS(tblGroupMatch[Home_Team_Number],tblGroupTotals[[#This Row],[Team_Number]],tblGroupMatch[Home_Points],1)</f>
        <v>0</v>
      </c>
      <c r="L16">
        <f>COUNTIFS(tblGroupMatch[Home_Team_Number],tblGroupTotals[[#This Row],[Team_Number]],tblGroupMatch[Home_Points],0)</f>
        <v>0</v>
      </c>
      <c r="M16" s="12">
        <f>SUMIFS(tblGroupMatch[Team A YCs],tblGroupMatch[Home_Team_Number],tblGroupTotals[[#This Row],[Team_Number]])</f>
        <v>0</v>
      </c>
      <c r="N16" s="12">
        <f>SUMIFS(tblGroupMatch[Team A RCs],tblGroupMatch[Home_Team_Number],tblGroupTotals[[#This Row],[Team_Number]])</f>
        <v>0</v>
      </c>
      <c r="O16" s="12">
        <f>SUMIFS(tblGroupMatch[Team A Penalties],tblGroupMatch[Home_Team_Number],tblGroupTotals[[#This Row],[Team_Number]])</f>
        <v>0</v>
      </c>
      <c r="P16">
        <f>COUNTIFS(tblGroupMatch[Away_Team_Number],tblGroupTotals[[#This Row],[Team_Number]],tblGroupMatch[Is_Complete],TRUE)</f>
        <v>0</v>
      </c>
      <c r="Q16" s="12">
        <f>SUMIFS(tblGroupMatch[Away_Points],tblGroupMatch[Away_Team_Number],tblGroupTotals[[#This Row],[Team_Number]])</f>
        <v>0</v>
      </c>
      <c r="R16" s="12">
        <f>SUMIFS(tblGroupMatch[Team B Goals],tblGroupMatch[Away_Team_Number],tblGroupTotals[[#This Row],[Team_Number]])</f>
        <v>0</v>
      </c>
      <c r="S16" s="12">
        <f>SUMIFS(tblGroupMatch[Team A Goals],tblGroupMatch[Away_Team_Number],tblGroupTotals[[#This Row],[Team_Number]])</f>
        <v>0</v>
      </c>
      <c r="T16">
        <f>COUNTIFS(tblGroupMatch[Away_Team_Number],tblGroupTotals[[#This Row],[Team_Number]],tblGroupMatch[Away_Points],3)</f>
        <v>0</v>
      </c>
      <c r="U16">
        <f>COUNTIFS(tblGroupMatch[Away_Team_Number],tblGroupTotals[[#This Row],[Team_Number]],tblGroupMatch[Away_Points],1)</f>
        <v>0</v>
      </c>
      <c r="V16">
        <f>COUNTIFS(tblGroupMatch[Away_Team_Number],tblGroupTotals[[#This Row],[Team_Number]],tblGroupMatch[Away_Points],0)</f>
        <v>0</v>
      </c>
      <c r="W16" s="12">
        <f>SUMIFS(tblGroupMatch[Team B Ycs],tblGroupMatch[Away_Team_Number],tblGroupTotals[[#This Row],[Team_Number]])</f>
        <v>0</v>
      </c>
      <c r="X16" s="12">
        <f>SUMIFS(tblGroupMatch[Team B RCs],tblGroupMatch[Away_Team_Number],tblGroupTotals[[#This Row],[Team_Number]])</f>
        <v>0</v>
      </c>
      <c r="Y16" s="12">
        <f>SUMIFS(tblGroupMatch[Team B Penalties],tblGroupMatch[Away_Team_Number],tblGroupTotals[[#This Row],[Team_Number]])</f>
        <v>0</v>
      </c>
      <c r="Z16">
        <f>SUM(tblGroupTotals[[#This Row],[Home_Games]],tblGroupTotals[[#This Row],[Away_Games]])</f>
        <v>0</v>
      </c>
      <c r="AA16" s="12">
        <f>SUM(tblGroupTotals[[#This Row],[Home_Points]],tblGroupTotals[[#This Row],[Away_Points]])</f>
        <v>0</v>
      </c>
      <c r="AB16" s="12">
        <f>tblGroupTotals[[#This Row],[Total_Goals_For]]-tblGroupTotals[[#This Row],[Total_Goals_Against]]</f>
        <v>0</v>
      </c>
      <c r="AC16" s="12">
        <f>SUM(tblGroupTotals[[#This Row],[Home_Goals_For]],tblGroupTotals[[#This Row],[Away_Goals_For]])</f>
        <v>0</v>
      </c>
      <c r="AD16" s="12">
        <f>SUM(tblGroupTotals[[#This Row],[Home_Goals_Against]],tblGroupTotals[[#This Row],[Away_Goals_Against]])</f>
        <v>0</v>
      </c>
      <c r="AE16" s="12">
        <f>SUM(tblGroupTotals[[#This Row],[Home_Wins]],tblGroupTotals[[#This Row],[Away_Wins]])</f>
        <v>0</v>
      </c>
      <c r="AF16" s="12">
        <f>SUM(tblGroupTotals[[#This Row],[Home_Draws]],tblGroupTotals[[#This Row],[Away_Draws]])</f>
        <v>0</v>
      </c>
      <c r="AG16" s="12">
        <f>SUM(tblGroupTotals[[#This Row],[Home_Loses]],tblGroupTotals[[#This Row],[Away_Loses]])</f>
        <v>0</v>
      </c>
      <c r="AH16" s="12">
        <f>SUM(tblGroupTotals[[#This Row],[Home_Yellow_Cards]],tblGroupTotals[[#This Row],[Away_Yellow_Cards]])</f>
        <v>0</v>
      </c>
      <c r="AI16" s="12">
        <f>SUM(tblGroupTotals[[#This Row],[Home_Red_Cards]],tblGroupTotals[[#This Row],[Away_Red_Cards]])</f>
        <v>0</v>
      </c>
      <c r="AJ16" s="12">
        <f>SUM(tblGroupTotals[[#This Row],[Home_Penalties]],tblGroupTotals[[#This Row],[Away_Penalties]])</f>
        <v>0</v>
      </c>
      <c r="AK16" s="12">
        <f>SUM(tblGroupTotals[[#This Row],[Total_Yellow_Cards]],tblGroupTotals[[#This Row],[Total_Red_Cards]]*3)</f>
        <v>0</v>
      </c>
      <c r="AL16" s="12">
        <f>INDEX(lkupTeam[],MATCH(tblGroupTotals[[#This Row],[Team_Code]],lkupTeam[Team_Code],0),MATCH("Qualifier_Rank",lkupTeam[#Headers],0))</f>
        <v>10</v>
      </c>
      <c r="AM16" s="12" t="str">
        <f>tblGroupTotals[[#This Row],[Group_Code]]&amp;tblGroupTotals[[#This Row],[Group_Points_Rank]]&amp;tblGroupTotals[[#This Row],[Group_Number]]</f>
        <v>D12</v>
      </c>
      <c r="AN16" s="12" cm="1">
        <f t="array" ref="AN16">SUMPRODUCT((tblGroupTotals[[#This Row],[Group_Code]]=tblGroupTotals[Group_Code])*(tblGroupTotals[[#This Row],[Total_Points]]&lt;tblGroupTotals[Total_Points]))+1</f>
        <v>1</v>
      </c>
      <c r="AO16"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6"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6" s="12" cm="1">
        <f t="array" ref="AQ16">SUMPRODUCT((tblGroupTotals[[#This Row],[Group_Code]]=tblGroupTotals[Group_Code])*(tblGroupTotals[[#This Row],[Goal_Difference]]&lt;tblGroupTotals[Goal_Difference]))+1</f>
        <v>1</v>
      </c>
      <c r="AR16" s="12" cm="1">
        <f t="array" ref="AR16">SUMPRODUCT((tblGroupTotals[[#This Row],[Group_Code]]=tblGroupTotals[Group_Code])*(tblGroupTotals[[#This Row],[Total_Goals_For]]&lt;tblGroupTotals[Total_Goals_For]))+1</f>
        <v>1</v>
      </c>
      <c r="AS16" s="12" cm="1">
        <f t="array" ref="AS16">SUMPRODUCT((tblGroupTotals[[#This Row],[Group_Code]]=tblGroupTotals[Group_Code])*(tblGroupTotals[[#This Row],[Total_Wins]]&lt;tblGroupTotals[Total_Wins]))+1</f>
        <v>1</v>
      </c>
      <c r="AT16" s="12" cm="1">
        <f t="array" ref="AT16">SUMPRODUCT((tblGroupTotals[[#This Row],[Group_Code]]=tblGroupTotals[Group_Code])*(tblGroupTotals[[#This Row],[Total_Penalties]]&lt;tblGroupTotals[Total_Penalties]))+1</f>
        <v>1</v>
      </c>
      <c r="AU16" s="12" cm="1">
        <f t="array" ref="AU16">SUMPRODUCT((tblGroupTotals[[#This Row],[Group_Code]]=tblGroupTotals[Group_Code])*(tblGroupTotals[[#This Row],[Total_Diciplinary_Points]]&gt;tblGroupTotals[Total_Diciplinary_Points]))+1</f>
        <v>1</v>
      </c>
      <c r="AV16" s="12" cm="1">
        <f t="array" ref="AV16">SUMPRODUCT((tblGroupTotals[[#This Row],[Group_Code]]=tblGroupTotals[Group_Code])*(tblGroupTotals[[#This Row],[Qualifier_Rank_Position]]&gt;tblGroupTotals[Qualifier_Rank_Position]))+1</f>
        <v>2</v>
      </c>
      <c r="AW16"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16" s="12" cm="1">
        <f t="array" aca="1" ref="AX16" ca="1">SUMPRODUCT((tblGroupTotals[[#This Row],[Group_Code]]=tblGroupTotals[Group_Code])*(tblGroupTotals[[#This Row],[Total_Group_Rank_Value]]&gt;tblGroupTotals[Total_Group_Rank_Value]))+1</f>
        <v>2</v>
      </c>
      <c r="AY16" s="12" t="str">
        <f ca="1">tblGroupTotals[[#This Row],[Group_Code]]&amp;tblGroupTotals[[#This Row],[Group_Rank]]</f>
        <v>D2</v>
      </c>
    </row>
    <row r="17" spans="2:51" x14ac:dyDescent="0.25">
      <c r="B17" t="s">
        <v>229</v>
      </c>
      <c r="C17" s="12" t="str">
        <f>LEFT(tblGroupTotals[[#This Row],[Team_Code]],1)</f>
        <v>D</v>
      </c>
      <c r="D17" s="12" t="str">
        <f>RIGHT(tblGroupTotals[[#This Row],[Team_Code]],1)</f>
        <v>3</v>
      </c>
      <c r="E17" s="12">
        <f>INDEX(lkupTeam[],MATCH(tblGroupTotals[[#This Row],[Team_Code]],lkupTeam[Team_Code],0),MATCH("Team_Number",lkupTeam[#Headers],0))</f>
        <v>15</v>
      </c>
      <c r="F17">
        <f>COUNTIFS(tblGroupMatch[Home_Team_Number],tblGroupTotals[[#This Row],[Team_Number]],tblGroupMatch[Is_Complete],TRUE)</f>
        <v>0</v>
      </c>
      <c r="G17" s="12">
        <f>SUMIFS(tblGroupMatch[Home_Points],tblGroupMatch[Home_Team_Number],tblGroupTotals[[#This Row],[Team_Number]])</f>
        <v>0</v>
      </c>
      <c r="H17" s="12">
        <f>SUMIFS(tblGroupMatch[Team A Goals],tblGroupMatch[Home_Team_Number],tblGroupTotals[[#This Row],[Team_Number]])</f>
        <v>0</v>
      </c>
      <c r="I17" s="12">
        <f>SUMIFS(tblGroupMatch[Team B Goals],tblGroupMatch[Home_Team_Number],tblGroupTotals[[#This Row],[Team_Number]])</f>
        <v>0</v>
      </c>
      <c r="J17">
        <f>COUNTIFS(tblGroupMatch[Home_Team_Number],tblGroupTotals[[#This Row],[Team_Number]],tblGroupMatch[Home_Points],3)</f>
        <v>0</v>
      </c>
      <c r="K17">
        <f>COUNTIFS(tblGroupMatch[Home_Team_Number],tblGroupTotals[[#This Row],[Team_Number]],tblGroupMatch[Home_Points],1)</f>
        <v>0</v>
      </c>
      <c r="L17">
        <f>COUNTIFS(tblGroupMatch[Home_Team_Number],tblGroupTotals[[#This Row],[Team_Number]],tblGroupMatch[Home_Points],0)</f>
        <v>0</v>
      </c>
      <c r="M17" s="12">
        <f>SUMIFS(tblGroupMatch[Team A YCs],tblGroupMatch[Home_Team_Number],tblGroupTotals[[#This Row],[Team_Number]])</f>
        <v>0</v>
      </c>
      <c r="N17" s="12">
        <f>SUMIFS(tblGroupMatch[Team A RCs],tblGroupMatch[Home_Team_Number],tblGroupTotals[[#This Row],[Team_Number]])</f>
        <v>0</v>
      </c>
      <c r="O17" s="12">
        <f>SUMIFS(tblGroupMatch[Team A Penalties],tblGroupMatch[Home_Team_Number],tblGroupTotals[[#This Row],[Team_Number]])</f>
        <v>0</v>
      </c>
      <c r="P17">
        <f>COUNTIFS(tblGroupMatch[Away_Team_Number],tblGroupTotals[[#This Row],[Team_Number]],tblGroupMatch[Is_Complete],TRUE)</f>
        <v>0</v>
      </c>
      <c r="Q17" s="12">
        <f>SUMIFS(tblGroupMatch[Away_Points],tblGroupMatch[Away_Team_Number],tblGroupTotals[[#This Row],[Team_Number]])</f>
        <v>0</v>
      </c>
      <c r="R17" s="12">
        <f>SUMIFS(tblGroupMatch[Team B Goals],tblGroupMatch[Away_Team_Number],tblGroupTotals[[#This Row],[Team_Number]])</f>
        <v>0</v>
      </c>
      <c r="S17" s="12">
        <f>SUMIFS(tblGroupMatch[Team A Goals],tblGroupMatch[Away_Team_Number],tblGroupTotals[[#This Row],[Team_Number]])</f>
        <v>0</v>
      </c>
      <c r="T17">
        <f>COUNTIFS(tblGroupMatch[Away_Team_Number],tblGroupTotals[[#This Row],[Team_Number]],tblGroupMatch[Away_Points],3)</f>
        <v>0</v>
      </c>
      <c r="U17">
        <f>COUNTIFS(tblGroupMatch[Away_Team_Number],tblGroupTotals[[#This Row],[Team_Number]],tblGroupMatch[Away_Points],1)</f>
        <v>0</v>
      </c>
      <c r="V17">
        <f>COUNTIFS(tblGroupMatch[Away_Team_Number],tblGroupTotals[[#This Row],[Team_Number]],tblGroupMatch[Away_Points],0)</f>
        <v>0</v>
      </c>
      <c r="W17" s="12">
        <f>SUMIFS(tblGroupMatch[Team B Ycs],tblGroupMatch[Away_Team_Number],tblGroupTotals[[#This Row],[Team_Number]])</f>
        <v>0</v>
      </c>
      <c r="X17" s="12">
        <f>SUMIFS(tblGroupMatch[Team B RCs],tblGroupMatch[Away_Team_Number],tblGroupTotals[[#This Row],[Team_Number]])</f>
        <v>0</v>
      </c>
      <c r="Y17" s="12">
        <f>SUMIFS(tblGroupMatch[Team B Penalties],tblGroupMatch[Away_Team_Number],tblGroupTotals[[#This Row],[Team_Number]])</f>
        <v>0</v>
      </c>
      <c r="Z17">
        <f>SUM(tblGroupTotals[[#This Row],[Home_Games]],tblGroupTotals[[#This Row],[Away_Games]])</f>
        <v>0</v>
      </c>
      <c r="AA17" s="12">
        <f>SUM(tblGroupTotals[[#This Row],[Home_Points]],tblGroupTotals[[#This Row],[Away_Points]])</f>
        <v>0</v>
      </c>
      <c r="AB17" s="12">
        <f>tblGroupTotals[[#This Row],[Total_Goals_For]]-tblGroupTotals[[#This Row],[Total_Goals_Against]]</f>
        <v>0</v>
      </c>
      <c r="AC17" s="12">
        <f>SUM(tblGroupTotals[[#This Row],[Home_Goals_For]],tblGroupTotals[[#This Row],[Away_Goals_For]])</f>
        <v>0</v>
      </c>
      <c r="AD17" s="12">
        <f>SUM(tblGroupTotals[[#This Row],[Home_Goals_Against]],tblGroupTotals[[#This Row],[Away_Goals_Against]])</f>
        <v>0</v>
      </c>
      <c r="AE17" s="12">
        <f>SUM(tblGroupTotals[[#This Row],[Home_Wins]],tblGroupTotals[[#This Row],[Away_Wins]])</f>
        <v>0</v>
      </c>
      <c r="AF17" s="12">
        <f>SUM(tblGroupTotals[[#This Row],[Home_Draws]],tblGroupTotals[[#This Row],[Away_Draws]])</f>
        <v>0</v>
      </c>
      <c r="AG17" s="12">
        <f>SUM(tblGroupTotals[[#This Row],[Home_Loses]],tblGroupTotals[[#This Row],[Away_Loses]])</f>
        <v>0</v>
      </c>
      <c r="AH17" s="12">
        <f>SUM(tblGroupTotals[[#This Row],[Home_Yellow_Cards]],tblGroupTotals[[#This Row],[Away_Yellow_Cards]])</f>
        <v>0</v>
      </c>
      <c r="AI17" s="12">
        <f>SUM(tblGroupTotals[[#This Row],[Home_Red_Cards]],tblGroupTotals[[#This Row],[Away_Red_Cards]])</f>
        <v>0</v>
      </c>
      <c r="AJ17" s="12">
        <f>SUM(tblGroupTotals[[#This Row],[Home_Penalties]],tblGroupTotals[[#This Row],[Away_Penalties]])</f>
        <v>0</v>
      </c>
      <c r="AK17" s="12">
        <f>SUM(tblGroupTotals[[#This Row],[Total_Yellow_Cards]],tblGroupTotals[[#This Row],[Total_Red_Cards]]*3)</f>
        <v>0</v>
      </c>
      <c r="AL17" s="12">
        <f>INDEX(lkupTeam[],MATCH(tblGroupTotals[[#This Row],[Team_Code]],lkupTeam[Team_Code],0),MATCH("Qualifier_Rank",lkupTeam[#Headers],0))</f>
        <v>29</v>
      </c>
      <c r="AM17" s="12" t="str">
        <f>tblGroupTotals[[#This Row],[Group_Code]]&amp;tblGroupTotals[[#This Row],[Group_Points_Rank]]&amp;tblGroupTotals[[#This Row],[Group_Number]]</f>
        <v>D13</v>
      </c>
      <c r="AN17" s="12" cm="1">
        <f t="array" ref="AN17">SUMPRODUCT((tblGroupTotals[[#This Row],[Group_Code]]=tblGroupTotals[Group_Code])*(tblGroupTotals[[#This Row],[Total_Points]]&lt;tblGroupTotals[Total_Points]))+1</f>
        <v>1</v>
      </c>
      <c r="AO17"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7"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7" s="12" cm="1">
        <f t="array" ref="AQ17">SUMPRODUCT((tblGroupTotals[[#This Row],[Group_Code]]=tblGroupTotals[Group_Code])*(tblGroupTotals[[#This Row],[Goal_Difference]]&lt;tblGroupTotals[Goal_Difference]))+1</f>
        <v>1</v>
      </c>
      <c r="AR17" s="12" cm="1">
        <f t="array" ref="AR17">SUMPRODUCT((tblGroupTotals[[#This Row],[Group_Code]]=tblGroupTotals[Group_Code])*(tblGroupTotals[[#This Row],[Total_Goals_For]]&lt;tblGroupTotals[Total_Goals_For]))+1</f>
        <v>1</v>
      </c>
      <c r="AS17" s="12" cm="1">
        <f t="array" ref="AS17">SUMPRODUCT((tblGroupTotals[[#This Row],[Group_Code]]=tblGroupTotals[Group_Code])*(tblGroupTotals[[#This Row],[Total_Wins]]&lt;tblGroupTotals[Total_Wins]))+1</f>
        <v>1</v>
      </c>
      <c r="AT17" s="12" cm="1">
        <f t="array" ref="AT17">SUMPRODUCT((tblGroupTotals[[#This Row],[Group_Code]]=tblGroupTotals[Group_Code])*(tblGroupTotals[[#This Row],[Total_Penalties]]&lt;tblGroupTotals[Total_Penalties]))+1</f>
        <v>1</v>
      </c>
      <c r="AU17" s="12" cm="1">
        <f t="array" ref="AU17">SUMPRODUCT((tblGroupTotals[[#This Row],[Group_Code]]=tblGroupTotals[Group_Code])*(tblGroupTotals[[#This Row],[Total_Diciplinary_Points]]&gt;tblGroupTotals[Total_Diciplinary_Points]))+1</f>
        <v>1</v>
      </c>
      <c r="AV17" s="12" cm="1">
        <f t="array" ref="AV17">SUMPRODUCT((tblGroupTotals[[#This Row],[Group_Code]]=tblGroupTotals[Group_Code])*(tblGroupTotals[[#This Row],[Qualifier_Rank_Position]]&gt;tblGroupTotals[Qualifier_Rank_Position]))+1</f>
        <v>4</v>
      </c>
      <c r="AW17"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17" s="12" cm="1">
        <f t="array" aca="1" ref="AX17" ca="1">SUMPRODUCT((tblGroupTotals[[#This Row],[Group_Code]]=tblGroupTotals[Group_Code])*(tblGroupTotals[[#This Row],[Total_Group_Rank_Value]]&gt;tblGroupTotals[Total_Group_Rank_Value]))+1</f>
        <v>4</v>
      </c>
      <c r="AY17" s="12" t="str">
        <f ca="1">tblGroupTotals[[#This Row],[Group_Code]]&amp;tblGroupTotals[[#This Row],[Group_Rank]]</f>
        <v>D4</v>
      </c>
    </row>
    <row r="18" spans="2:51" x14ac:dyDescent="0.25">
      <c r="B18" t="s">
        <v>230</v>
      </c>
      <c r="C18" s="12" t="str">
        <f>LEFT(tblGroupTotals[[#This Row],[Team_Code]],1)</f>
        <v>D</v>
      </c>
      <c r="D18" s="12" t="str">
        <f>RIGHT(tblGroupTotals[[#This Row],[Team_Code]],1)</f>
        <v>4</v>
      </c>
      <c r="E18" s="12">
        <f>INDEX(lkupTeam[],MATCH(tblGroupTotals[[#This Row],[Team_Code]],lkupTeam[Team_Code],0),MATCH("Team_Number",lkupTeam[#Headers],0))</f>
        <v>16</v>
      </c>
      <c r="F18">
        <f>COUNTIFS(tblGroupMatch[Home_Team_Number],tblGroupTotals[[#This Row],[Team_Number]],tblGroupMatch[Is_Complete],TRUE)</f>
        <v>0</v>
      </c>
      <c r="G18" s="12">
        <f>SUMIFS(tblGroupMatch[Home_Points],tblGroupMatch[Home_Team_Number],tblGroupTotals[[#This Row],[Team_Number]])</f>
        <v>0</v>
      </c>
      <c r="H18" s="12">
        <f>SUMIFS(tblGroupMatch[Team A Goals],tblGroupMatch[Home_Team_Number],tblGroupTotals[[#This Row],[Team_Number]])</f>
        <v>0</v>
      </c>
      <c r="I18" s="12">
        <f>SUMIFS(tblGroupMatch[Team B Goals],tblGroupMatch[Home_Team_Number],tblGroupTotals[[#This Row],[Team_Number]])</f>
        <v>0</v>
      </c>
      <c r="J18">
        <f>COUNTIFS(tblGroupMatch[Home_Team_Number],tblGroupTotals[[#This Row],[Team_Number]],tblGroupMatch[Home_Points],3)</f>
        <v>0</v>
      </c>
      <c r="K18">
        <f>COUNTIFS(tblGroupMatch[Home_Team_Number],tblGroupTotals[[#This Row],[Team_Number]],tblGroupMatch[Home_Points],1)</f>
        <v>0</v>
      </c>
      <c r="L18">
        <f>COUNTIFS(tblGroupMatch[Home_Team_Number],tblGroupTotals[[#This Row],[Team_Number]],tblGroupMatch[Home_Points],0)</f>
        <v>0</v>
      </c>
      <c r="M18" s="12">
        <f>SUMIFS(tblGroupMatch[Team A YCs],tblGroupMatch[Home_Team_Number],tblGroupTotals[[#This Row],[Team_Number]])</f>
        <v>0</v>
      </c>
      <c r="N18" s="12">
        <f>SUMIFS(tblGroupMatch[Team A RCs],tblGroupMatch[Home_Team_Number],tblGroupTotals[[#This Row],[Team_Number]])</f>
        <v>0</v>
      </c>
      <c r="O18" s="12">
        <f>SUMIFS(tblGroupMatch[Team A Penalties],tblGroupMatch[Home_Team_Number],tblGroupTotals[[#This Row],[Team_Number]])</f>
        <v>0</v>
      </c>
      <c r="P18">
        <f>COUNTIFS(tblGroupMatch[Away_Team_Number],tblGroupTotals[[#This Row],[Team_Number]],tblGroupMatch[Is_Complete],TRUE)</f>
        <v>0</v>
      </c>
      <c r="Q18" s="12">
        <f>SUMIFS(tblGroupMatch[Away_Points],tblGroupMatch[Away_Team_Number],tblGroupTotals[[#This Row],[Team_Number]])</f>
        <v>0</v>
      </c>
      <c r="R18" s="12">
        <f>SUMIFS(tblGroupMatch[Team B Goals],tblGroupMatch[Away_Team_Number],tblGroupTotals[[#This Row],[Team_Number]])</f>
        <v>0</v>
      </c>
      <c r="S18" s="12">
        <f>SUMIFS(tblGroupMatch[Team A Goals],tblGroupMatch[Away_Team_Number],tblGroupTotals[[#This Row],[Team_Number]])</f>
        <v>0</v>
      </c>
      <c r="T18">
        <f>COUNTIFS(tblGroupMatch[Away_Team_Number],tblGroupTotals[[#This Row],[Team_Number]],tblGroupMatch[Away_Points],3)</f>
        <v>0</v>
      </c>
      <c r="U18">
        <f>COUNTIFS(tblGroupMatch[Away_Team_Number],tblGroupTotals[[#This Row],[Team_Number]],tblGroupMatch[Away_Points],1)</f>
        <v>0</v>
      </c>
      <c r="V18">
        <f>COUNTIFS(tblGroupMatch[Away_Team_Number],tblGroupTotals[[#This Row],[Team_Number]],tblGroupMatch[Away_Points],0)</f>
        <v>0</v>
      </c>
      <c r="W18" s="12">
        <f>SUMIFS(tblGroupMatch[Team B Ycs],tblGroupMatch[Away_Team_Number],tblGroupTotals[[#This Row],[Team_Number]])</f>
        <v>0</v>
      </c>
      <c r="X18" s="12">
        <f>SUMIFS(tblGroupMatch[Team B RCs],tblGroupMatch[Away_Team_Number],tblGroupTotals[[#This Row],[Team_Number]])</f>
        <v>0</v>
      </c>
      <c r="Y18" s="12">
        <f>SUMIFS(tblGroupMatch[Team B Penalties],tblGroupMatch[Away_Team_Number],tblGroupTotals[[#This Row],[Team_Number]])</f>
        <v>0</v>
      </c>
      <c r="Z18">
        <f>SUM(tblGroupTotals[[#This Row],[Home_Games]],tblGroupTotals[[#This Row],[Away_Games]])</f>
        <v>0</v>
      </c>
      <c r="AA18" s="12">
        <f>SUM(tblGroupTotals[[#This Row],[Home_Points]],tblGroupTotals[[#This Row],[Away_Points]])</f>
        <v>0</v>
      </c>
      <c r="AB18" s="12">
        <f>tblGroupTotals[[#This Row],[Total_Goals_For]]-tblGroupTotals[[#This Row],[Total_Goals_Against]]</f>
        <v>0</v>
      </c>
      <c r="AC18" s="12">
        <f>SUM(tblGroupTotals[[#This Row],[Home_Goals_For]],tblGroupTotals[[#This Row],[Away_Goals_For]])</f>
        <v>0</v>
      </c>
      <c r="AD18" s="12">
        <f>SUM(tblGroupTotals[[#This Row],[Home_Goals_Against]],tblGroupTotals[[#This Row],[Away_Goals_Against]])</f>
        <v>0</v>
      </c>
      <c r="AE18" s="12">
        <f>SUM(tblGroupTotals[[#This Row],[Home_Wins]],tblGroupTotals[[#This Row],[Away_Wins]])</f>
        <v>0</v>
      </c>
      <c r="AF18" s="12">
        <f>SUM(tblGroupTotals[[#This Row],[Home_Draws]],tblGroupTotals[[#This Row],[Away_Draws]])</f>
        <v>0</v>
      </c>
      <c r="AG18" s="12">
        <f>SUM(tblGroupTotals[[#This Row],[Home_Loses]],tblGroupTotals[[#This Row],[Away_Loses]])</f>
        <v>0</v>
      </c>
      <c r="AH18" s="12">
        <f>SUM(tblGroupTotals[[#This Row],[Home_Yellow_Cards]],tblGroupTotals[[#This Row],[Away_Yellow_Cards]])</f>
        <v>0</v>
      </c>
      <c r="AI18" s="12">
        <f>SUM(tblGroupTotals[[#This Row],[Home_Red_Cards]],tblGroupTotals[[#This Row],[Away_Red_Cards]])</f>
        <v>0</v>
      </c>
      <c r="AJ18" s="12">
        <f>SUM(tblGroupTotals[[#This Row],[Home_Penalties]],tblGroupTotals[[#This Row],[Away_Penalties]])</f>
        <v>0</v>
      </c>
      <c r="AK18" s="12">
        <f>SUM(tblGroupTotals[[#This Row],[Total_Yellow_Cards]],tblGroupTotals[[#This Row],[Total_Red_Cards]]*3)</f>
        <v>0</v>
      </c>
      <c r="AL18" s="12">
        <f>INDEX(lkupTeam[],MATCH(tblGroupTotals[[#This Row],[Team_Code]],lkupTeam[Team_Code],0),MATCH("Qualifier_Rank",lkupTeam[#Headers],0))</f>
        <v>18</v>
      </c>
      <c r="AM18" s="12" t="str">
        <f>tblGroupTotals[[#This Row],[Group_Code]]&amp;tblGroupTotals[[#This Row],[Group_Points_Rank]]&amp;tblGroupTotals[[#This Row],[Group_Number]]</f>
        <v>D14</v>
      </c>
      <c r="AN18" s="12" cm="1">
        <f t="array" ref="AN18">SUMPRODUCT((tblGroupTotals[[#This Row],[Group_Code]]=tblGroupTotals[Group_Code])*(tblGroupTotals[[#This Row],[Total_Points]]&lt;tblGroupTotals[Total_Points]))+1</f>
        <v>1</v>
      </c>
      <c r="AO18"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8"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8" s="12" cm="1">
        <f t="array" ref="AQ18">SUMPRODUCT((tblGroupTotals[[#This Row],[Group_Code]]=tblGroupTotals[Group_Code])*(tblGroupTotals[[#This Row],[Goal_Difference]]&lt;tblGroupTotals[Goal_Difference]))+1</f>
        <v>1</v>
      </c>
      <c r="AR18" s="12" cm="1">
        <f t="array" ref="AR18">SUMPRODUCT((tblGroupTotals[[#This Row],[Group_Code]]=tblGroupTotals[Group_Code])*(tblGroupTotals[[#This Row],[Total_Goals_For]]&lt;tblGroupTotals[Total_Goals_For]))+1</f>
        <v>1</v>
      </c>
      <c r="AS18" s="12" cm="1">
        <f t="array" ref="AS18">SUMPRODUCT((tblGroupTotals[[#This Row],[Group_Code]]=tblGroupTotals[Group_Code])*(tblGroupTotals[[#This Row],[Total_Wins]]&lt;tblGroupTotals[Total_Wins]))+1</f>
        <v>1</v>
      </c>
      <c r="AT18" s="12" cm="1">
        <f t="array" ref="AT18">SUMPRODUCT((tblGroupTotals[[#This Row],[Group_Code]]=tblGroupTotals[Group_Code])*(tblGroupTotals[[#This Row],[Total_Penalties]]&lt;tblGroupTotals[Total_Penalties]))+1</f>
        <v>1</v>
      </c>
      <c r="AU18" s="12" cm="1">
        <f t="array" ref="AU18">SUMPRODUCT((tblGroupTotals[[#This Row],[Group_Code]]=tblGroupTotals[Group_Code])*(tblGroupTotals[[#This Row],[Total_Diciplinary_Points]]&gt;tblGroupTotals[Total_Diciplinary_Points]))+1</f>
        <v>1</v>
      </c>
      <c r="AV18" s="12" cm="1">
        <f t="array" ref="AV18">SUMPRODUCT((tblGroupTotals[[#This Row],[Group_Code]]=tblGroupTotals[Group_Code])*(tblGroupTotals[[#This Row],[Qualifier_Rank_Position]]&gt;tblGroupTotals[Qualifier_Rank_Position]))+1</f>
        <v>3</v>
      </c>
      <c r="AW18"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18" s="12" cm="1">
        <f t="array" aca="1" ref="AX18" ca="1">SUMPRODUCT((tblGroupTotals[[#This Row],[Group_Code]]=tblGroupTotals[Group_Code])*(tblGroupTotals[[#This Row],[Total_Group_Rank_Value]]&gt;tblGroupTotals[Total_Group_Rank_Value]))+1</f>
        <v>3</v>
      </c>
      <c r="AY18" s="12" t="str">
        <f ca="1">tblGroupTotals[[#This Row],[Group_Code]]&amp;tblGroupTotals[[#This Row],[Group_Rank]]</f>
        <v>D3</v>
      </c>
    </row>
    <row r="19" spans="2:51" x14ac:dyDescent="0.25">
      <c r="B19" t="s">
        <v>231</v>
      </c>
      <c r="C19" s="12" t="str">
        <f>LEFT(tblGroupTotals[[#This Row],[Team_Code]],1)</f>
        <v>E</v>
      </c>
      <c r="D19" s="12" t="str">
        <f>RIGHT(tblGroupTotals[[#This Row],[Team_Code]],1)</f>
        <v>1</v>
      </c>
      <c r="E19" s="12">
        <f>INDEX(lkupTeam[],MATCH(tblGroupTotals[[#This Row],[Team_Code]],lkupTeam[Team_Code],0),MATCH("Team_Number",lkupTeam[#Headers],0))</f>
        <v>17</v>
      </c>
      <c r="F19">
        <f>COUNTIFS(tblGroupMatch[Home_Team_Number],tblGroupTotals[[#This Row],[Team_Number]],tblGroupMatch[Is_Complete],TRUE)</f>
        <v>0</v>
      </c>
      <c r="G19" s="12">
        <f>SUMIFS(tblGroupMatch[Home_Points],tblGroupMatch[Home_Team_Number],tblGroupTotals[[#This Row],[Team_Number]])</f>
        <v>0</v>
      </c>
      <c r="H19" s="12">
        <f>SUMIFS(tblGroupMatch[Team A Goals],tblGroupMatch[Home_Team_Number],tblGroupTotals[[#This Row],[Team_Number]])</f>
        <v>0</v>
      </c>
      <c r="I19" s="12">
        <f>SUMIFS(tblGroupMatch[Team B Goals],tblGroupMatch[Home_Team_Number],tblGroupTotals[[#This Row],[Team_Number]])</f>
        <v>0</v>
      </c>
      <c r="J19">
        <f>COUNTIFS(tblGroupMatch[Home_Team_Number],tblGroupTotals[[#This Row],[Team_Number]],tblGroupMatch[Home_Points],3)</f>
        <v>0</v>
      </c>
      <c r="K19">
        <f>COUNTIFS(tblGroupMatch[Home_Team_Number],tblGroupTotals[[#This Row],[Team_Number]],tblGroupMatch[Home_Points],1)</f>
        <v>0</v>
      </c>
      <c r="L19">
        <f>COUNTIFS(tblGroupMatch[Home_Team_Number],tblGroupTotals[[#This Row],[Team_Number]],tblGroupMatch[Home_Points],0)</f>
        <v>0</v>
      </c>
      <c r="M19" s="12">
        <f>SUMIFS(tblGroupMatch[Team A YCs],tblGroupMatch[Home_Team_Number],tblGroupTotals[[#This Row],[Team_Number]])</f>
        <v>0</v>
      </c>
      <c r="N19" s="12">
        <f>SUMIFS(tblGroupMatch[Team A RCs],tblGroupMatch[Home_Team_Number],tblGroupTotals[[#This Row],[Team_Number]])</f>
        <v>0</v>
      </c>
      <c r="O19" s="12">
        <f>SUMIFS(tblGroupMatch[Team A Penalties],tblGroupMatch[Home_Team_Number],tblGroupTotals[[#This Row],[Team_Number]])</f>
        <v>0</v>
      </c>
      <c r="P19">
        <f>COUNTIFS(tblGroupMatch[Away_Team_Number],tblGroupTotals[[#This Row],[Team_Number]],tblGroupMatch[Is_Complete],TRUE)</f>
        <v>0</v>
      </c>
      <c r="Q19" s="12">
        <f>SUMIFS(tblGroupMatch[Away_Points],tblGroupMatch[Away_Team_Number],tblGroupTotals[[#This Row],[Team_Number]])</f>
        <v>0</v>
      </c>
      <c r="R19" s="12">
        <f>SUMIFS(tblGroupMatch[Team B Goals],tblGroupMatch[Away_Team_Number],tblGroupTotals[[#This Row],[Team_Number]])</f>
        <v>0</v>
      </c>
      <c r="S19" s="12">
        <f>SUMIFS(tblGroupMatch[Team A Goals],tblGroupMatch[Away_Team_Number],tblGroupTotals[[#This Row],[Team_Number]])</f>
        <v>0</v>
      </c>
      <c r="T19">
        <f>COUNTIFS(tblGroupMatch[Away_Team_Number],tblGroupTotals[[#This Row],[Team_Number]],tblGroupMatch[Away_Points],3)</f>
        <v>0</v>
      </c>
      <c r="U19">
        <f>COUNTIFS(tblGroupMatch[Away_Team_Number],tblGroupTotals[[#This Row],[Team_Number]],tblGroupMatch[Away_Points],1)</f>
        <v>0</v>
      </c>
      <c r="V19">
        <f>COUNTIFS(tblGroupMatch[Away_Team_Number],tblGroupTotals[[#This Row],[Team_Number]],tblGroupMatch[Away_Points],0)</f>
        <v>0</v>
      </c>
      <c r="W19" s="12">
        <f>SUMIFS(tblGroupMatch[Team B Ycs],tblGroupMatch[Away_Team_Number],tblGroupTotals[[#This Row],[Team_Number]])</f>
        <v>0</v>
      </c>
      <c r="X19" s="12">
        <f>SUMIFS(tblGroupMatch[Team B RCs],tblGroupMatch[Away_Team_Number],tblGroupTotals[[#This Row],[Team_Number]])</f>
        <v>0</v>
      </c>
      <c r="Y19" s="12">
        <f>SUMIFS(tblGroupMatch[Team B Penalties],tblGroupMatch[Away_Team_Number],tblGroupTotals[[#This Row],[Team_Number]])</f>
        <v>0</v>
      </c>
      <c r="Z19">
        <f>SUM(tblGroupTotals[[#This Row],[Home_Games]],tblGroupTotals[[#This Row],[Away_Games]])</f>
        <v>0</v>
      </c>
      <c r="AA19" s="12">
        <f>SUM(tblGroupTotals[[#This Row],[Home_Points]],tblGroupTotals[[#This Row],[Away_Points]])</f>
        <v>0</v>
      </c>
      <c r="AB19" s="12">
        <f>tblGroupTotals[[#This Row],[Total_Goals_For]]-tblGroupTotals[[#This Row],[Total_Goals_Against]]</f>
        <v>0</v>
      </c>
      <c r="AC19" s="12">
        <f>SUM(tblGroupTotals[[#This Row],[Home_Goals_For]],tblGroupTotals[[#This Row],[Away_Goals_For]])</f>
        <v>0</v>
      </c>
      <c r="AD19" s="12">
        <f>SUM(tblGroupTotals[[#This Row],[Home_Goals_Against]],tblGroupTotals[[#This Row],[Away_Goals_Against]])</f>
        <v>0</v>
      </c>
      <c r="AE19" s="12">
        <f>SUM(tblGroupTotals[[#This Row],[Home_Wins]],tblGroupTotals[[#This Row],[Away_Wins]])</f>
        <v>0</v>
      </c>
      <c r="AF19" s="12">
        <f>SUM(tblGroupTotals[[#This Row],[Home_Draws]],tblGroupTotals[[#This Row],[Away_Draws]])</f>
        <v>0</v>
      </c>
      <c r="AG19" s="12">
        <f>SUM(tblGroupTotals[[#This Row],[Home_Loses]],tblGroupTotals[[#This Row],[Away_Loses]])</f>
        <v>0</v>
      </c>
      <c r="AH19" s="12">
        <f>SUM(tblGroupTotals[[#This Row],[Home_Yellow_Cards]],tblGroupTotals[[#This Row],[Away_Yellow_Cards]])</f>
        <v>0</v>
      </c>
      <c r="AI19" s="12">
        <f>SUM(tblGroupTotals[[#This Row],[Home_Red_Cards]],tblGroupTotals[[#This Row],[Away_Red_Cards]])</f>
        <v>0</v>
      </c>
      <c r="AJ19" s="12">
        <f>SUM(tblGroupTotals[[#This Row],[Home_Penalties]],tblGroupTotals[[#This Row],[Away_Penalties]])</f>
        <v>0</v>
      </c>
      <c r="AK19" s="12">
        <f>SUM(tblGroupTotals[[#This Row],[Total_Yellow_Cards]],tblGroupTotals[[#This Row],[Total_Red_Cards]]*3)</f>
        <v>0</v>
      </c>
      <c r="AL19" s="12">
        <f>INDEX(lkupTeam[],MATCH(tblGroupTotals[[#This Row],[Team_Code]],lkupTeam[Team_Code],0),MATCH("Qualifier_Rank",lkupTeam[#Headers],0))</f>
        <v>8</v>
      </c>
      <c r="AM19" s="12" t="str">
        <f>tblGroupTotals[[#This Row],[Group_Code]]&amp;tblGroupTotals[[#This Row],[Group_Points_Rank]]&amp;tblGroupTotals[[#This Row],[Group_Number]]</f>
        <v>E11</v>
      </c>
      <c r="AN19" s="12" cm="1">
        <f t="array" ref="AN19">SUMPRODUCT((tblGroupTotals[[#This Row],[Group_Code]]=tblGroupTotals[Group_Code])*(tblGroupTotals[[#This Row],[Total_Points]]&lt;tblGroupTotals[Total_Points]))+1</f>
        <v>1</v>
      </c>
      <c r="AO19"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9"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9" s="12" cm="1">
        <f t="array" ref="AQ19">SUMPRODUCT((tblGroupTotals[[#This Row],[Group_Code]]=tblGroupTotals[Group_Code])*(tblGroupTotals[[#This Row],[Goal_Difference]]&lt;tblGroupTotals[Goal_Difference]))+1</f>
        <v>1</v>
      </c>
      <c r="AR19" s="12" cm="1">
        <f t="array" ref="AR19">SUMPRODUCT((tblGroupTotals[[#This Row],[Group_Code]]=tblGroupTotals[Group_Code])*(tblGroupTotals[[#This Row],[Total_Goals_For]]&lt;tblGroupTotals[Total_Goals_For]))+1</f>
        <v>1</v>
      </c>
      <c r="AS19" s="12" cm="1">
        <f t="array" ref="AS19">SUMPRODUCT((tblGroupTotals[[#This Row],[Group_Code]]=tblGroupTotals[Group_Code])*(tblGroupTotals[[#This Row],[Total_Wins]]&lt;tblGroupTotals[Total_Wins]))+1</f>
        <v>1</v>
      </c>
      <c r="AT19" s="12" cm="1">
        <f t="array" ref="AT19">SUMPRODUCT((tblGroupTotals[[#This Row],[Group_Code]]=tblGroupTotals[Group_Code])*(tblGroupTotals[[#This Row],[Total_Penalties]]&lt;tblGroupTotals[Total_Penalties]))+1</f>
        <v>1</v>
      </c>
      <c r="AU19" s="12" cm="1">
        <f t="array" ref="AU19">SUMPRODUCT((tblGroupTotals[[#This Row],[Group_Code]]=tblGroupTotals[Group_Code])*(tblGroupTotals[[#This Row],[Total_Diciplinary_Points]]&gt;tblGroupTotals[Total_Diciplinary_Points]))+1</f>
        <v>1</v>
      </c>
      <c r="AV19" s="12" cm="1">
        <f t="array" ref="AV19">SUMPRODUCT((tblGroupTotals[[#This Row],[Group_Code]]=tblGroupTotals[Group_Code])*(tblGroupTotals[[#This Row],[Qualifier_Rank_Position]]&gt;tblGroupTotals[Qualifier_Rank_Position]))+1</f>
        <v>2</v>
      </c>
      <c r="AW19"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19" s="12" cm="1">
        <f t="array" aca="1" ref="AX19" ca="1">SUMPRODUCT((tblGroupTotals[[#This Row],[Group_Code]]=tblGroupTotals[Group_Code])*(tblGroupTotals[[#This Row],[Total_Group_Rank_Value]]&gt;tblGroupTotals[Total_Group_Rank_Value]))+1</f>
        <v>2</v>
      </c>
      <c r="AY19" s="12" t="str">
        <f ca="1">tblGroupTotals[[#This Row],[Group_Code]]&amp;tblGroupTotals[[#This Row],[Group_Rank]]</f>
        <v>E2</v>
      </c>
    </row>
    <row r="20" spans="2:51" x14ac:dyDescent="0.25">
      <c r="B20" t="s">
        <v>232</v>
      </c>
      <c r="C20" s="12" t="str">
        <f>LEFT(tblGroupTotals[[#This Row],[Team_Code]],1)</f>
        <v>E</v>
      </c>
      <c r="D20" s="12" t="str">
        <f>RIGHT(tblGroupTotals[[#This Row],[Team_Code]],1)</f>
        <v>2</v>
      </c>
      <c r="E20" s="12">
        <f>INDEX(lkupTeam[],MATCH(tblGroupTotals[[#This Row],[Team_Code]],lkupTeam[Team_Code],0),MATCH("Team_Number",lkupTeam[#Headers],0))</f>
        <v>18</v>
      </c>
      <c r="F20">
        <f>COUNTIFS(tblGroupMatch[Home_Team_Number],tblGroupTotals[[#This Row],[Team_Number]],tblGroupMatch[Is_Complete],TRUE)</f>
        <v>0</v>
      </c>
      <c r="G20" s="12">
        <f>SUMIFS(tblGroupMatch[Home_Points],tblGroupMatch[Home_Team_Number],tblGroupTotals[[#This Row],[Team_Number]])</f>
        <v>0</v>
      </c>
      <c r="H20" s="12">
        <f>SUMIFS(tblGroupMatch[Team A Goals],tblGroupMatch[Home_Team_Number],tblGroupTotals[[#This Row],[Team_Number]])</f>
        <v>0</v>
      </c>
      <c r="I20" s="12">
        <f>SUMIFS(tblGroupMatch[Team B Goals],tblGroupMatch[Home_Team_Number],tblGroupTotals[[#This Row],[Team_Number]])</f>
        <v>0</v>
      </c>
      <c r="J20">
        <f>COUNTIFS(tblGroupMatch[Home_Team_Number],tblGroupTotals[[#This Row],[Team_Number]],tblGroupMatch[Home_Points],3)</f>
        <v>0</v>
      </c>
      <c r="K20">
        <f>COUNTIFS(tblGroupMatch[Home_Team_Number],tblGroupTotals[[#This Row],[Team_Number]],tblGroupMatch[Home_Points],1)</f>
        <v>0</v>
      </c>
      <c r="L20">
        <f>COUNTIFS(tblGroupMatch[Home_Team_Number],tblGroupTotals[[#This Row],[Team_Number]],tblGroupMatch[Home_Points],0)</f>
        <v>0</v>
      </c>
      <c r="M20" s="12">
        <f>SUMIFS(tblGroupMatch[Team A YCs],tblGroupMatch[Home_Team_Number],tblGroupTotals[[#This Row],[Team_Number]])</f>
        <v>0</v>
      </c>
      <c r="N20" s="12">
        <f>SUMIFS(tblGroupMatch[Team A RCs],tblGroupMatch[Home_Team_Number],tblGroupTotals[[#This Row],[Team_Number]])</f>
        <v>0</v>
      </c>
      <c r="O20" s="12">
        <f>SUMIFS(tblGroupMatch[Team A Penalties],tblGroupMatch[Home_Team_Number],tblGroupTotals[[#This Row],[Team_Number]])</f>
        <v>0</v>
      </c>
      <c r="P20">
        <f>COUNTIFS(tblGroupMatch[Away_Team_Number],tblGroupTotals[[#This Row],[Team_Number]],tblGroupMatch[Is_Complete],TRUE)</f>
        <v>0</v>
      </c>
      <c r="Q20" s="12">
        <f>SUMIFS(tblGroupMatch[Away_Points],tblGroupMatch[Away_Team_Number],tblGroupTotals[[#This Row],[Team_Number]])</f>
        <v>0</v>
      </c>
      <c r="R20" s="12">
        <f>SUMIFS(tblGroupMatch[Team B Goals],tblGroupMatch[Away_Team_Number],tblGroupTotals[[#This Row],[Team_Number]])</f>
        <v>0</v>
      </c>
      <c r="S20" s="12">
        <f>SUMIFS(tblGroupMatch[Team A Goals],tblGroupMatch[Away_Team_Number],tblGroupTotals[[#This Row],[Team_Number]])</f>
        <v>0</v>
      </c>
      <c r="T20">
        <f>COUNTIFS(tblGroupMatch[Away_Team_Number],tblGroupTotals[[#This Row],[Team_Number]],tblGroupMatch[Away_Points],3)</f>
        <v>0</v>
      </c>
      <c r="U20">
        <f>COUNTIFS(tblGroupMatch[Away_Team_Number],tblGroupTotals[[#This Row],[Team_Number]],tblGroupMatch[Away_Points],1)</f>
        <v>0</v>
      </c>
      <c r="V20">
        <f>COUNTIFS(tblGroupMatch[Away_Team_Number],tblGroupTotals[[#This Row],[Team_Number]],tblGroupMatch[Away_Points],0)</f>
        <v>0</v>
      </c>
      <c r="W20" s="12">
        <f>SUMIFS(tblGroupMatch[Team B Ycs],tblGroupMatch[Away_Team_Number],tblGroupTotals[[#This Row],[Team_Number]])</f>
        <v>0</v>
      </c>
      <c r="X20" s="12">
        <f>SUMIFS(tblGroupMatch[Team B RCs],tblGroupMatch[Away_Team_Number],tblGroupTotals[[#This Row],[Team_Number]])</f>
        <v>0</v>
      </c>
      <c r="Y20" s="12">
        <f>SUMIFS(tblGroupMatch[Team B Penalties],tblGroupMatch[Away_Team_Number],tblGroupTotals[[#This Row],[Team_Number]])</f>
        <v>0</v>
      </c>
      <c r="Z20">
        <f>SUM(tblGroupTotals[[#This Row],[Home_Games]],tblGroupTotals[[#This Row],[Away_Games]])</f>
        <v>0</v>
      </c>
      <c r="AA20" s="12">
        <f>SUM(tblGroupTotals[[#This Row],[Home_Points]],tblGroupTotals[[#This Row],[Away_Points]])</f>
        <v>0</v>
      </c>
      <c r="AB20" s="12">
        <f>tblGroupTotals[[#This Row],[Total_Goals_For]]-tblGroupTotals[[#This Row],[Total_Goals_Against]]</f>
        <v>0</v>
      </c>
      <c r="AC20" s="12">
        <f>SUM(tblGroupTotals[[#This Row],[Home_Goals_For]],tblGroupTotals[[#This Row],[Away_Goals_For]])</f>
        <v>0</v>
      </c>
      <c r="AD20" s="12">
        <f>SUM(tblGroupTotals[[#This Row],[Home_Goals_Against]],tblGroupTotals[[#This Row],[Away_Goals_Against]])</f>
        <v>0</v>
      </c>
      <c r="AE20" s="12">
        <f>SUM(tblGroupTotals[[#This Row],[Home_Wins]],tblGroupTotals[[#This Row],[Away_Wins]])</f>
        <v>0</v>
      </c>
      <c r="AF20" s="12">
        <f>SUM(tblGroupTotals[[#This Row],[Home_Draws]],tblGroupTotals[[#This Row],[Away_Draws]])</f>
        <v>0</v>
      </c>
      <c r="AG20" s="12">
        <f>SUM(tblGroupTotals[[#This Row],[Home_Loses]],tblGroupTotals[[#This Row],[Away_Loses]])</f>
        <v>0</v>
      </c>
      <c r="AH20" s="12">
        <f>SUM(tblGroupTotals[[#This Row],[Home_Yellow_Cards]],tblGroupTotals[[#This Row],[Away_Yellow_Cards]])</f>
        <v>0</v>
      </c>
      <c r="AI20" s="12">
        <f>SUM(tblGroupTotals[[#This Row],[Home_Red_Cards]],tblGroupTotals[[#This Row],[Away_Red_Cards]])</f>
        <v>0</v>
      </c>
      <c r="AJ20" s="12">
        <f>SUM(tblGroupTotals[[#This Row],[Home_Penalties]],tblGroupTotals[[#This Row],[Away_Penalties]])</f>
        <v>0</v>
      </c>
      <c r="AK20" s="12">
        <f>SUM(tblGroupTotals[[#This Row],[Total_Yellow_Cards]],tblGroupTotals[[#This Row],[Total_Red_Cards]]*3)</f>
        <v>0</v>
      </c>
      <c r="AL20" s="12">
        <f>INDEX(lkupTeam[],MATCH(tblGroupTotals[[#This Row],[Team_Code]],lkupTeam[Team_Code],0),MATCH("Qualifier_Rank",lkupTeam[#Headers],0))</f>
        <v>22</v>
      </c>
      <c r="AM20" s="12" t="str">
        <f>tblGroupTotals[[#This Row],[Group_Code]]&amp;tblGroupTotals[[#This Row],[Group_Points_Rank]]&amp;tblGroupTotals[[#This Row],[Group_Number]]</f>
        <v>E12</v>
      </c>
      <c r="AN20" s="12" cm="1">
        <f t="array" ref="AN20">SUMPRODUCT((tblGroupTotals[[#This Row],[Group_Code]]=tblGroupTotals[Group_Code])*(tblGroupTotals[[#This Row],[Total_Points]]&lt;tblGroupTotals[Total_Points]))+1</f>
        <v>1</v>
      </c>
      <c r="AO20"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0"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0" s="12" cm="1">
        <f t="array" ref="AQ20">SUMPRODUCT((tblGroupTotals[[#This Row],[Group_Code]]=tblGroupTotals[Group_Code])*(tblGroupTotals[[#This Row],[Goal_Difference]]&lt;tblGroupTotals[Goal_Difference]))+1</f>
        <v>1</v>
      </c>
      <c r="AR20" s="12" cm="1">
        <f t="array" ref="AR20">SUMPRODUCT((tblGroupTotals[[#This Row],[Group_Code]]=tblGroupTotals[Group_Code])*(tblGroupTotals[[#This Row],[Total_Goals_For]]&lt;tblGroupTotals[Total_Goals_For]))+1</f>
        <v>1</v>
      </c>
      <c r="AS20" s="12" cm="1">
        <f t="array" ref="AS20">SUMPRODUCT((tblGroupTotals[[#This Row],[Group_Code]]=tblGroupTotals[Group_Code])*(tblGroupTotals[[#This Row],[Total_Wins]]&lt;tblGroupTotals[Total_Wins]))+1</f>
        <v>1</v>
      </c>
      <c r="AT20" s="12" cm="1">
        <f t="array" ref="AT20">SUMPRODUCT((tblGroupTotals[[#This Row],[Group_Code]]=tblGroupTotals[Group_Code])*(tblGroupTotals[[#This Row],[Total_Penalties]]&lt;tblGroupTotals[Total_Penalties]))+1</f>
        <v>1</v>
      </c>
      <c r="AU20" s="12" cm="1">
        <f t="array" ref="AU20">SUMPRODUCT((tblGroupTotals[[#This Row],[Group_Code]]=tblGroupTotals[Group_Code])*(tblGroupTotals[[#This Row],[Total_Diciplinary_Points]]&gt;tblGroupTotals[Total_Diciplinary_Points]))+1</f>
        <v>1</v>
      </c>
      <c r="AV20" s="12" cm="1">
        <f t="array" ref="AV20">SUMPRODUCT((tblGroupTotals[[#This Row],[Group_Code]]=tblGroupTotals[Group_Code])*(tblGroupTotals[[#This Row],[Qualifier_Rank_Position]]&gt;tblGroupTotals[Qualifier_Rank_Position]))+1</f>
        <v>4</v>
      </c>
      <c r="AW20"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20" s="12" cm="1">
        <f t="array" aca="1" ref="AX20" ca="1">SUMPRODUCT((tblGroupTotals[[#This Row],[Group_Code]]=tblGroupTotals[Group_Code])*(tblGroupTotals[[#This Row],[Total_Group_Rank_Value]]&gt;tblGroupTotals[Total_Group_Rank_Value]))+1</f>
        <v>4</v>
      </c>
      <c r="AY20" s="12" t="str">
        <f ca="1">tblGroupTotals[[#This Row],[Group_Code]]&amp;tblGroupTotals[[#This Row],[Group_Rank]]</f>
        <v>E4</v>
      </c>
    </row>
    <row r="21" spans="2:51" x14ac:dyDescent="0.25">
      <c r="B21" t="s">
        <v>233</v>
      </c>
      <c r="C21" s="12" t="str">
        <f>LEFT(tblGroupTotals[[#This Row],[Team_Code]],1)</f>
        <v>E</v>
      </c>
      <c r="D21" s="12" t="str">
        <f>RIGHT(tblGroupTotals[[#This Row],[Team_Code]],1)</f>
        <v>3</v>
      </c>
      <c r="E21" s="12">
        <f>INDEX(lkupTeam[],MATCH(tblGroupTotals[[#This Row],[Team_Code]],lkupTeam[Team_Code],0),MATCH("Team_Number",lkupTeam[#Headers],0))</f>
        <v>19</v>
      </c>
      <c r="F21">
        <f>COUNTIFS(tblGroupMatch[Home_Team_Number],tblGroupTotals[[#This Row],[Team_Number]],tblGroupMatch[Is_Complete],TRUE)</f>
        <v>0</v>
      </c>
      <c r="G21" s="12">
        <f>SUMIFS(tblGroupMatch[Home_Points],tblGroupMatch[Home_Team_Number],tblGroupTotals[[#This Row],[Team_Number]])</f>
        <v>0</v>
      </c>
      <c r="H21" s="12">
        <f>SUMIFS(tblGroupMatch[Team A Goals],tblGroupMatch[Home_Team_Number],tblGroupTotals[[#This Row],[Team_Number]])</f>
        <v>0</v>
      </c>
      <c r="I21" s="12">
        <f>SUMIFS(tblGroupMatch[Team B Goals],tblGroupMatch[Home_Team_Number],tblGroupTotals[[#This Row],[Team_Number]])</f>
        <v>0</v>
      </c>
      <c r="J21">
        <f>COUNTIFS(tblGroupMatch[Home_Team_Number],tblGroupTotals[[#This Row],[Team_Number]],tblGroupMatch[Home_Points],3)</f>
        <v>0</v>
      </c>
      <c r="K21">
        <f>COUNTIFS(tblGroupMatch[Home_Team_Number],tblGroupTotals[[#This Row],[Team_Number]],tblGroupMatch[Home_Points],1)</f>
        <v>0</v>
      </c>
      <c r="L21">
        <f>COUNTIFS(tblGroupMatch[Home_Team_Number],tblGroupTotals[[#This Row],[Team_Number]],tblGroupMatch[Home_Points],0)</f>
        <v>0</v>
      </c>
      <c r="M21" s="12">
        <f>SUMIFS(tblGroupMatch[Team A YCs],tblGroupMatch[Home_Team_Number],tblGroupTotals[[#This Row],[Team_Number]])</f>
        <v>0</v>
      </c>
      <c r="N21" s="12">
        <f>SUMIFS(tblGroupMatch[Team A RCs],tblGroupMatch[Home_Team_Number],tblGroupTotals[[#This Row],[Team_Number]])</f>
        <v>0</v>
      </c>
      <c r="O21" s="12">
        <f>SUMIFS(tblGroupMatch[Team A Penalties],tblGroupMatch[Home_Team_Number],tblGroupTotals[[#This Row],[Team_Number]])</f>
        <v>0</v>
      </c>
      <c r="P21">
        <f>COUNTIFS(tblGroupMatch[Away_Team_Number],tblGroupTotals[[#This Row],[Team_Number]],tblGroupMatch[Is_Complete],TRUE)</f>
        <v>0</v>
      </c>
      <c r="Q21" s="12">
        <f>SUMIFS(tblGroupMatch[Away_Points],tblGroupMatch[Away_Team_Number],tblGroupTotals[[#This Row],[Team_Number]])</f>
        <v>0</v>
      </c>
      <c r="R21" s="12">
        <f>SUMIFS(tblGroupMatch[Team B Goals],tblGroupMatch[Away_Team_Number],tblGroupTotals[[#This Row],[Team_Number]])</f>
        <v>0</v>
      </c>
      <c r="S21" s="12">
        <f>SUMIFS(tblGroupMatch[Team A Goals],tblGroupMatch[Away_Team_Number],tblGroupTotals[[#This Row],[Team_Number]])</f>
        <v>0</v>
      </c>
      <c r="T21">
        <f>COUNTIFS(tblGroupMatch[Away_Team_Number],tblGroupTotals[[#This Row],[Team_Number]],tblGroupMatch[Away_Points],3)</f>
        <v>0</v>
      </c>
      <c r="U21">
        <f>COUNTIFS(tblGroupMatch[Away_Team_Number],tblGroupTotals[[#This Row],[Team_Number]],tblGroupMatch[Away_Points],1)</f>
        <v>0</v>
      </c>
      <c r="V21">
        <f>COUNTIFS(tblGroupMatch[Away_Team_Number],tblGroupTotals[[#This Row],[Team_Number]],tblGroupMatch[Away_Points],0)</f>
        <v>0</v>
      </c>
      <c r="W21" s="12">
        <f>SUMIFS(tblGroupMatch[Team B Ycs],tblGroupMatch[Away_Team_Number],tblGroupTotals[[#This Row],[Team_Number]])</f>
        <v>0</v>
      </c>
      <c r="X21" s="12">
        <f>SUMIFS(tblGroupMatch[Team B RCs],tblGroupMatch[Away_Team_Number],tblGroupTotals[[#This Row],[Team_Number]])</f>
        <v>0</v>
      </c>
      <c r="Y21" s="12">
        <f>SUMIFS(tblGroupMatch[Team B Penalties],tblGroupMatch[Away_Team_Number],tblGroupTotals[[#This Row],[Team_Number]])</f>
        <v>0</v>
      </c>
      <c r="Z21">
        <f>SUM(tblGroupTotals[[#This Row],[Home_Games]],tblGroupTotals[[#This Row],[Away_Games]])</f>
        <v>0</v>
      </c>
      <c r="AA21" s="12">
        <f>SUM(tblGroupTotals[[#This Row],[Home_Points]],tblGroupTotals[[#This Row],[Away_Points]])</f>
        <v>0</v>
      </c>
      <c r="AB21" s="12">
        <f>tblGroupTotals[[#This Row],[Total_Goals_For]]-tblGroupTotals[[#This Row],[Total_Goals_Against]]</f>
        <v>0</v>
      </c>
      <c r="AC21" s="12">
        <f>SUM(tblGroupTotals[[#This Row],[Home_Goals_For]],tblGroupTotals[[#This Row],[Away_Goals_For]])</f>
        <v>0</v>
      </c>
      <c r="AD21" s="12">
        <f>SUM(tblGroupTotals[[#This Row],[Home_Goals_Against]],tblGroupTotals[[#This Row],[Away_Goals_Against]])</f>
        <v>0</v>
      </c>
      <c r="AE21" s="12">
        <f>SUM(tblGroupTotals[[#This Row],[Home_Wins]],tblGroupTotals[[#This Row],[Away_Wins]])</f>
        <v>0</v>
      </c>
      <c r="AF21" s="12">
        <f>SUM(tblGroupTotals[[#This Row],[Home_Draws]],tblGroupTotals[[#This Row],[Away_Draws]])</f>
        <v>0</v>
      </c>
      <c r="AG21" s="12">
        <f>SUM(tblGroupTotals[[#This Row],[Home_Loses]],tblGroupTotals[[#This Row],[Away_Loses]])</f>
        <v>0</v>
      </c>
      <c r="AH21" s="12">
        <f>SUM(tblGroupTotals[[#This Row],[Home_Yellow_Cards]],tblGroupTotals[[#This Row],[Away_Yellow_Cards]])</f>
        <v>0</v>
      </c>
      <c r="AI21" s="12">
        <f>SUM(tblGroupTotals[[#This Row],[Home_Red_Cards]],tblGroupTotals[[#This Row],[Away_Red_Cards]])</f>
        <v>0</v>
      </c>
      <c r="AJ21" s="12">
        <f>SUM(tblGroupTotals[[#This Row],[Home_Penalties]],tblGroupTotals[[#This Row],[Away_Penalties]])</f>
        <v>0</v>
      </c>
      <c r="AK21" s="12">
        <f>SUM(tblGroupTotals[[#This Row],[Total_Yellow_Cards]],tblGroupTotals[[#This Row],[Total_Red_Cards]]*3)</f>
        <v>0</v>
      </c>
      <c r="AL21" s="12">
        <f>INDEX(lkupTeam[],MATCH(tblGroupTotals[[#This Row],[Team_Code]],lkupTeam[Team_Code],0),MATCH("Qualifier_Rank",lkupTeam[#Headers],0))</f>
        <v>5</v>
      </c>
      <c r="AM21" s="12" t="str">
        <f>tblGroupTotals[[#This Row],[Group_Code]]&amp;tblGroupTotals[[#This Row],[Group_Points_Rank]]&amp;tblGroupTotals[[#This Row],[Group_Number]]</f>
        <v>E13</v>
      </c>
      <c r="AN21" s="12" cm="1">
        <f t="array" ref="AN21">SUMPRODUCT((tblGroupTotals[[#This Row],[Group_Code]]=tblGroupTotals[Group_Code])*(tblGroupTotals[[#This Row],[Total_Points]]&lt;tblGroupTotals[Total_Points]))+1</f>
        <v>1</v>
      </c>
      <c r="AO21"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1"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1" s="12" cm="1">
        <f t="array" ref="AQ21">SUMPRODUCT((tblGroupTotals[[#This Row],[Group_Code]]=tblGroupTotals[Group_Code])*(tblGroupTotals[[#This Row],[Goal_Difference]]&lt;tblGroupTotals[Goal_Difference]))+1</f>
        <v>1</v>
      </c>
      <c r="AR21" s="12" cm="1">
        <f t="array" ref="AR21">SUMPRODUCT((tblGroupTotals[[#This Row],[Group_Code]]=tblGroupTotals[Group_Code])*(tblGroupTotals[[#This Row],[Total_Goals_For]]&lt;tblGroupTotals[Total_Goals_For]))+1</f>
        <v>1</v>
      </c>
      <c r="AS21" s="12" cm="1">
        <f t="array" ref="AS21">SUMPRODUCT((tblGroupTotals[[#This Row],[Group_Code]]=tblGroupTotals[Group_Code])*(tblGroupTotals[[#This Row],[Total_Wins]]&lt;tblGroupTotals[Total_Wins]))+1</f>
        <v>1</v>
      </c>
      <c r="AT21" s="12" cm="1">
        <f t="array" ref="AT21">SUMPRODUCT((tblGroupTotals[[#This Row],[Group_Code]]=tblGroupTotals[Group_Code])*(tblGroupTotals[[#This Row],[Total_Penalties]]&lt;tblGroupTotals[Total_Penalties]))+1</f>
        <v>1</v>
      </c>
      <c r="AU21" s="12" cm="1">
        <f t="array" ref="AU21">SUMPRODUCT((tblGroupTotals[[#This Row],[Group_Code]]=tblGroupTotals[Group_Code])*(tblGroupTotals[[#This Row],[Total_Diciplinary_Points]]&gt;tblGroupTotals[Total_Diciplinary_Points]))+1</f>
        <v>1</v>
      </c>
      <c r="AV21" s="12" cm="1">
        <f t="array" ref="AV21">SUMPRODUCT((tblGroupTotals[[#This Row],[Group_Code]]=tblGroupTotals[Group_Code])*(tblGroupTotals[[#This Row],[Qualifier_Rank_Position]]&gt;tblGroupTotals[Qualifier_Rank_Position]))+1</f>
        <v>1</v>
      </c>
      <c r="AW21"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21" s="12" cm="1">
        <f t="array" aca="1" ref="AX21" ca="1">SUMPRODUCT((tblGroupTotals[[#This Row],[Group_Code]]=tblGroupTotals[Group_Code])*(tblGroupTotals[[#This Row],[Total_Group_Rank_Value]]&gt;tblGroupTotals[Total_Group_Rank_Value]))+1</f>
        <v>1</v>
      </c>
      <c r="AY21" s="12" t="str">
        <f ca="1">tblGroupTotals[[#This Row],[Group_Code]]&amp;tblGroupTotals[[#This Row],[Group_Rank]]</f>
        <v>E1</v>
      </c>
    </row>
    <row r="22" spans="2:51" x14ac:dyDescent="0.25">
      <c r="B22" t="s">
        <v>234</v>
      </c>
      <c r="C22" s="12" t="str">
        <f>LEFT(tblGroupTotals[[#This Row],[Team_Code]],1)</f>
        <v>E</v>
      </c>
      <c r="D22" s="12" t="str">
        <f>RIGHT(tblGroupTotals[[#This Row],[Team_Code]],1)</f>
        <v>4</v>
      </c>
      <c r="E22" s="12">
        <f>INDEX(lkupTeam[],MATCH(tblGroupTotals[[#This Row],[Team_Code]],lkupTeam[Team_Code],0),MATCH("Team_Number",lkupTeam[#Headers],0))</f>
        <v>20</v>
      </c>
      <c r="F22">
        <f>COUNTIFS(tblGroupMatch[Home_Team_Number],tblGroupTotals[[#This Row],[Team_Number]],tblGroupMatch[Is_Complete],TRUE)</f>
        <v>0</v>
      </c>
      <c r="G22" s="12">
        <f>SUMIFS(tblGroupMatch[Home_Points],tblGroupMatch[Home_Team_Number],tblGroupTotals[[#This Row],[Team_Number]])</f>
        <v>0</v>
      </c>
      <c r="H22" s="12">
        <f>SUMIFS(tblGroupMatch[Team A Goals],tblGroupMatch[Home_Team_Number],tblGroupTotals[[#This Row],[Team_Number]])</f>
        <v>0</v>
      </c>
      <c r="I22" s="12">
        <f>SUMIFS(tblGroupMatch[Team B Goals],tblGroupMatch[Home_Team_Number],tblGroupTotals[[#This Row],[Team_Number]])</f>
        <v>0</v>
      </c>
      <c r="J22">
        <f>COUNTIFS(tblGroupMatch[Home_Team_Number],tblGroupTotals[[#This Row],[Team_Number]],tblGroupMatch[Home_Points],3)</f>
        <v>0</v>
      </c>
      <c r="K22">
        <f>COUNTIFS(tblGroupMatch[Home_Team_Number],tblGroupTotals[[#This Row],[Team_Number]],tblGroupMatch[Home_Points],1)</f>
        <v>0</v>
      </c>
      <c r="L22">
        <f>COUNTIFS(tblGroupMatch[Home_Team_Number],tblGroupTotals[[#This Row],[Team_Number]],tblGroupMatch[Home_Points],0)</f>
        <v>0</v>
      </c>
      <c r="M22" s="12">
        <f>SUMIFS(tblGroupMatch[Team A YCs],tblGroupMatch[Home_Team_Number],tblGroupTotals[[#This Row],[Team_Number]])</f>
        <v>0</v>
      </c>
      <c r="N22" s="12">
        <f>SUMIFS(tblGroupMatch[Team A RCs],tblGroupMatch[Home_Team_Number],tblGroupTotals[[#This Row],[Team_Number]])</f>
        <v>0</v>
      </c>
      <c r="O22" s="12">
        <f>SUMIFS(tblGroupMatch[Team A Penalties],tblGroupMatch[Home_Team_Number],tblGroupTotals[[#This Row],[Team_Number]])</f>
        <v>0</v>
      </c>
      <c r="P22">
        <f>COUNTIFS(tblGroupMatch[Away_Team_Number],tblGroupTotals[[#This Row],[Team_Number]],tblGroupMatch[Is_Complete],TRUE)</f>
        <v>0</v>
      </c>
      <c r="Q22" s="12">
        <f>SUMIFS(tblGroupMatch[Away_Points],tblGroupMatch[Away_Team_Number],tblGroupTotals[[#This Row],[Team_Number]])</f>
        <v>0</v>
      </c>
      <c r="R22" s="12">
        <f>SUMIFS(tblGroupMatch[Team B Goals],tblGroupMatch[Away_Team_Number],tblGroupTotals[[#This Row],[Team_Number]])</f>
        <v>0</v>
      </c>
      <c r="S22" s="12">
        <f>SUMIFS(tblGroupMatch[Team A Goals],tblGroupMatch[Away_Team_Number],tblGroupTotals[[#This Row],[Team_Number]])</f>
        <v>0</v>
      </c>
      <c r="T22">
        <f>COUNTIFS(tblGroupMatch[Away_Team_Number],tblGroupTotals[[#This Row],[Team_Number]],tblGroupMatch[Away_Points],3)</f>
        <v>0</v>
      </c>
      <c r="U22">
        <f>COUNTIFS(tblGroupMatch[Away_Team_Number],tblGroupTotals[[#This Row],[Team_Number]],tblGroupMatch[Away_Points],1)</f>
        <v>0</v>
      </c>
      <c r="V22">
        <f>COUNTIFS(tblGroupMatch[Away_Team_Number],tblGroupTotals[[#This Row],[Team_Number]],tblGroupMatch[Away_Points],0)</f>
        <v>0</v>
      </c>
      <c r="W22" s="12">
        <f>SUMIFS(tblGroupMatch[Team B Ycs],tblGroupMatch[Away_Team_Number],tblGroupTotals[[#This Row],[Team_Number]])</f>
        <v>0</v>
      </c>
      <c r="X22" s="12">
        <f>SUMIFS(tblGroupMatch[Team B RCs],tblGroupMatch[Away_Team_Number],tblGroupTotals[[#This Row],[Team_Number]])</f>
        <v>0</v>
      </c>
      <c r="Y22" s="12">
        <f>SUMIFS(tblGroupMatch[Team B Penalties],tblGroupMatch[Away_Team_Number],tblGroupTotals[[#This Row],[Team_Number]])</f>
        <v>0</v>
      </c>
      <c r="Z22">
        <f>SUM(tblGroupTotals[[#This Row],[Home_Games]],tblGroupTotals[[#This Row],[Away_Games]])</f>
        <v>0</v>
      </c>
      <c r="AA22" s="12">
        <f>SUM(tblGroupTotals[[#This Row],[Home_Points]],tblGroupTotals[[#This Row],[Away_Points]])</f>
        <v>0</v>
      </c>
      <c r="AB22" s="12">
        <f>tblGroupTotals[[#This Row],[Total_Goals_For]]-tblGroupTotals[[#This Row],[Total_Goals_Against]]</f>
        <v>0</v>
      </c>
      <c r="AC22" s="12">
        <f>SUM(tblGroupTotals[[#This Row],[Home_Goals_For]],tblGroupTotals[[#This Row],[Away_Goals_For]])</f>
        <v>0</v>
      </c>
      <c r="AD22" s="12">
        <f>SUM(tblGroupTotals[[#This Row],[Home_Goals_Against]],tblGroupTotals[[#This Row],[Away_Goals_Against]])</f>
        <v>0</v>
      </c>
      <c r="AE22" s="12">
        <f>SUM(tblGroupTotals[[#This Row],[Home_Wins]],tblGroupTotals[[#This Row],[Away_Wins]])</f>
        <v>0</v>
      </c>
      <c r="AF22" s="12">
        <f>SUM(tblGroupTotals[[#This Row],[Home_Draws]],tblGroupTotals[[#This Row],[Away_Draws]])</f>
        <v>0</v>
      </c>
      <c r="AG22" s="12">
        <f>SUM(tblGroupTotals[[#This Row],[Home_Loses]],tblGroupTotals[[#This Row],[Away_Loses]])</f>
        <v>0</v>
      </c>
      <c r="AH22" s="12">
        <f>SUM(tblGroupTotals[[#This Row],[Home_Yellow_Cards]],tblGroupTotals[[#This Row],[Away_Yellow_Cards]])</f>
        <v>0</v>
      </c>
      <c r="AI22" s="12">
        <f>SUM(tblGroupTotals[[#This Row],[Home_Red_Cards]],tblGroupTotals[[#This Row],[Away_Red_Cards]])</f>
        <v>0</v>
      </c>
      <c r="AJ22" s="12">
        <f>SUM(tblGroupTotals[[#This Row],[Home_Penalties]],tblGroupTotals[[#This Row],[Away_Penalties]])</f>
        <v>0</v>
      </c>
      <c r="AK22" s="12">
        <f>SUM(tblGroupTotals[[#This Row],[Total_Yellow_Cards]],tblGroupTotals[[#This Row],[Total_Red_Cards]]*3)</f>
        <v>0</v>
      </c>
      <c r="AL22" s="12">
        <f>INDEX(lkupTeam[],MATCH(tblGroupTotals[[#This Row],[Team_Code]],lkupTeam[Team_Code],0),MATCH("Qualifier_Rank",lkupTeam[#Headers],0))</f>
        <v>17</v>
      </c>
      <c r="AM22" s="12" t="str">
        <f>tblGroupTotals[[#This Row],[Group_Code]]&amp;tblGroupTotals[[#This Row],[Group_Points_Rank]]&amp;tblGroupTotals[[#This Row],[Group_Number]]</f>
        <v>E14</v>
      </c>
      <c r="AN22" s="12" cm="1">
        <f t="array" ref="AN22">SUMPRODUCT((tblGroupTotals[[#This Row],[Group_Code]]=tblGroupTotals[Group_Code])*(tblGroupTotals[[#This Row],[Total_Points]]&lt;tblGroupTotals[Total_Points]))+1</f>
        <v>1</v>
      </c>
      <c r="AO22"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2"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2" s="12" cm="1">
        <f t="array" ref="AQ22">SUMPRODUCT((tblGroupTotals[[#This Row],[Group_Code]]=tblGroupTotals[Group_Code])*(tblGroupTotals[[#This Row],[Goal_Difference]]&lt;tblGroupTotals[Goal_Difference]))+1</f>
        <v>1</v>
      </c>
      <c r="AR22" s="12" cm="1">
        <f t="array" ref="AR22">SUMPRODUCT((tblGroupTotals[[#This Row],[Group_Code]]=tblGroupTotals[Group_Code])*(tblGroupTotals[[#This Row],[Total_Goals_For]]&lt;tblGroupTotals[Total_Goals_For]))+1</f>
        <v>1</v>
      </c>
      <c r="AS22" s="12" cm="1">
        <f t="array" ref="AS22">SUMPRODUCT((tblGroupTotals[[#This Row],[Group_Code]]=tblGroupTotals[Group_Code])*(tblGroupTotals[[#This Row],[Total_Wins]]&lt;tblGroupTotals[Total_Wins]))+1</f>
        <v>1</v>
      </c>
      <c r="AT22" s="12" cm="1">
        <f t="array" ref="AT22">SUMPRODUCT((tblGroupTotals[[#This Row],[Group_Code]]=tblGroupTotals[Group_Code])*(tblGroupTotals[[#This Row],[Total_Penalties]]&lt;tblGroupTotals[Total_Penalties]))+1</f>
        <v>1</v>
      </c>
      <c r="AU22" s="12" cm="1">
        <f t="array" ref="AU22">SUMPRODUCT((tblGroupTotals[[#This Row],[Group_Code]]=tblGroupTotals[Group_Code])*(tblGroupTotals[[#This Row],[Total_Diciplinary_Points]]&gt;tblGroupTotals[Total_Diciplinary_Points]))+1</f>
        <v>1</v>
      </c>
      <c r="AV22" s="12" cm="1">
        <f t="array" ref="AV22">SUMPRODUCT((tblGroupTotals[[#This Row],[Group_Code]]=tblGroupTotals[Group_Code])*(tblGroupTotals[[#This Row],[Qualifier_Rank_Position]]&gt;tblGroupTotals[Qualifier_Rank_Position]))+1</f>
        <v>3</v>
      </c>
      <c r="AW22"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22" s="12" cm="1">
        <f t="array" aca="1" ref="AX22" ca="1">SUMPRODUCT((tblGroupTotals[[#This Row],[Group_Code]]=tblGroupTotals[Group_Code])*(tblGroupTotals[[#This Row],[Total_Group_Rank_Value]]&gt;tblGroupTotals[Total_Group_Rank_Value]))+1</f>
        <v>3</v>
      </c>
      <c r="AY22" s="12" t="str">
        <f ca="1">tblGroupTotals[[#This Row],[Group_Code]]&amp;tblGroupTotals[[#This Row],[Group_Rank]]</f>
        <v>E3</v>
      </c>
    </row>
    <row r="23" spans="2:51" x14ac:dyDescent="0.25">
      <c r="B23" t="s">
        <v>235</v>
      </c>
      <c r="C23" s="12" t="str">
        <f>LEFT(tblGroupTotals[[#This Row],[Team_Code]],1)</f>
        <v>F</v>
      </c>
      <c r="D23" s="12" t="str">
        <f>RIGHT(tblGroupTotals[[#This Row],[Team_Code]],1)</f>
        <v>1</v>
      </c>
      <c r="E23" s="12">
        <f>INDEX(lkupTeam[],MATCH(tblGroupTotals[[#This Row],[Team_Code]],lkupTeam[Team_Code],0),MATCH("Team_Number",lkupTeam[#Headers],0))</f>
        <v>21</v>
      </c>
      <c r="F23">
        <f>COUNTIFS(tblGroupMatch[Home_Team_Number],tblGroupTotals[[#This Row],[Team_Number]],tblGroupMatch[Is_Complete],TRUE)</f>
        <v>0</v>
      </c>
      <c r="G23" s="12">
        <f>SUMIFS(tblGroupMatch[Home_Points],tblGroupMatch[Home_Team_Number],tblGroupTotals[[#This Row],[Team_Number]])</f>
        <v>0</v>
      </c>
      <c r="H23" s="12">
        <f>SUMIFS(tblGroupMatch[Team A Goals],tblGroupMatch[Home_Team_Number],tblGroupTotals[[#This Row],[Team_Number]])</f>
        <v>0</v>
      </c>
      <c r="I23" s="12">
        <f>SUMIFS(tblGroupMatch[Team B Goals],tblGroupMatch[Home_Team_Number],tblGroupTotals[[#This Row],[Team_Number]])</f>
        <v>0</v>
      </c>
      <c r="J23">
        <f>COUNTIFS(tblGroupMatch[Home_Team_Number],tblGroupTotals[[#This Row],[Team_Number]],tblGroupMatch[Home_Points],3)</f>
        <v>0</v>
      </c>
      <c r="K23">
        <f>COUNTIFS(tblGroupMatch[Home_Team_Number],tblGroupTotals[[#This Row],[Team_Number]],tblGroupMatch[Home_Points],1)</f>
        <v>0</v>
      </c>
      <c r="L23">
        <f>COUNTIFS(tblGroupMatch[Home_Team_Number],tblGroupTotals[[#This Row],[Team_Number]],tblGroupMatch[Home_Points],0)</f>
        <v>0</v>
      </c>
      <c r="M23" s="12">
        <f>SUMIFS(tblGroupMatch[Team A YCs],tblGroupMatch[Home_Team_Number],tblGroupTotals[[#This Row],[Team_Number]])</f>
        <v>0</v>
      </c>
      <c r="N23" s="12">
        <f>SUMIFS(tblGroupMatch[Team A RCs],tblGroupMatch[Home_Team_Number],tblGroupTotals[[#This Row],[Team_Number]])</f>
        <v>0</v>
      </c>
      <c r="O23" s="12">
        <f>SUMIFS(tblGroupMatch[Team A Penalties],tblGroupMatch[Home_Team_Number],tblGroupTotals[[#This Row],[Team_Number]])</f>
        <v>0</v>
      </c>
      <c r="P23">
        <f>COUNTIFS(tblGroupMatch[Away_Team_Number],tblGroupTotals[[#This Row],[Team_Number]],tblGroupMatch[Is_Complete],TRUE)</f>
        <v>0</v>
      </c>
      <c r="Q23" s="12">
        <f>SUMIFS(tblGroupMatch[Away_Points],tblGroupMatch[Away_Team_Number],tblGroupTotals[[#This Row],[Team_Number]])</f>
        <v>0</v>
      </c>
      <c r="R23" s="12">
        <f>SUMIFS(tblGroupMatch[Team B Goals],tblGroupMatch[Away_Team_Number],tblGroupTotals[[#This Row],[Team_Number]])</f>
        <v>0</v>
      </c>
      <c r="S23" s="12">
        <f>SUMIFS(tblGroupMatch[Team A Goals],tblGroupMatch[Away_Team_Number],tblGroupTotals[[#This Row],[Team_Number]])</f>
        <v>0</v>
      </c>
      <c r="T23">
        <f>COUNTIFS(tblGroupMatch[Away_Team_Number],tblGroupTotals[[#This Row],[Team_Number]],tblGroupMatch[Away_Points],3)</f>
        <v>0</v>
      </c>
      <c r="U23">
        <f>COUNTIFS(tblGroupMatch[Away_Team_Number],tblGroupTotals[[#This Row],[Team_Number]],tblGroupMatch[Away_Points],1)</f>
        <v>0</v>
      </c>
      <c r="V23">
        <f>COUNTIFS(tblGroupMatch[Away_Team_Number],tblGroupTotals[[#This Row],[Team_Number]],tblGroupMatch[Away_Points],0)</f>
        <v>0</v>
      </c>
      <c r="W23" s="12">
        <f>SUMIFS(tblGroupMatch[Team B Ycs],tblGroupMatch[Away_Team_Number],tblGroupTotals[[#This Row],[Team_Number]])</f>
        <v>0</v>
      </c>
      <c r="X23" s="12">
        <f>SUMIFS(tblGroupMatch[Team B RCs],tblGroupMatch[Away_Team_Number],tblGroupTotals[[#This Row],[Team_Number]])</f>
        <v>0</v>
      </c>
      <c r="Y23" s="12">
        <f>SUMIFS(tblGroupMatch[Team B Penalties],tblGroupMatch[Away_Team_Number],tblGroupTotals[[#This Row],[Team_Number]])</f>
        <v>0</v>
      </c>
      <c r="Z23">
        <f>SUM(tblGroupTotals[[#This Row],[Home_Games]],tblGroupTotals[[#This Row],[Away_Games]])</f>
        <v>0</v>
      </c>
      <c r="AA23" s="12">
        <f>SUM(tblGroupTotals[[#This Row],[Home_Points]],tblGroupTotals[[#This Row],[Away_Points]])</f>
        <v>0</v>
      </c>
      <c r="AB23" s="12">
        <f>tblGroupTotals[[#This Row],[Total_Goals_For]]-tblGroupTotals[[#This Row],[Total_Goals_Against]]</f>
        <v>0</v>
      </c>
      <c r="AC23" s="12">
        <f>SUM(tblGroupTotals[[#This Row],[Home_Goals_For]],tblGroupTotals[[#This Row],[Away_Goals_For]])</f>
        <v>0</v>
      </c>
      <c r="AD23" s="12">
        <f>SUM(tblGroupTotals[[#This Row],[Home_Goals_Against]],tblGroupTotals[[#This Row],[Away_Goals_Against]])</f>
        <v>0</v>
      </c>
      <c r="AE23" s="12">
        <f>SUM(tblGroupTotals[[#This Row],[Home_Wins]],tblGroupTotals[[#This Row],[Away_Wins]])</f>
        <v>0</v>
      </c>
      <c r="AF23" s="12">
        <f>SUM(tblGroupTotals[[#This Row],[Home_Draws]],tblGroupTotals[[#This Row],[Away_Draws]])</f>
        <v>0</v>
      </c>
      <c r="AG23" s="12">
        <f>SUM(tblGroupTotals[[#This Row],[Home_Loses]],tblGroupTotals[[#This Row],[Away_Loses]])</f>
        <v>0</v>
      </c>
      <c r="AH23" s="12">
        <f>SUM(tblGroupTotals[[#This Row],[Home_Yellow_Cards]],tblGroupTotals[[#This Row],[Away_Yellow_Cards]])</f>
        <v>0</v>
      </c>
      <c r="AI23" s="12">
        <f>SUM(tblGroupTotals[[#This Row],[Home_Red_Cards]],tblGroupTotals[[#This Row],[Away_Red_Cards]])</f>
        <v>0</v>
      </c>
      <c r="AJ23" s="12">
        <f>SUM(tblGroupTotals[[#This Row],[Home_Penalties]],tblGroupTotals[[#This Row],[Away_Penalties]])</f>
        <v>0</v>
      </c>
      <c r="AK23" s="12">
        <f>SUM(tblGroupTotals[[#This Row],[Total_Yellow_Cards]],tblGroupTotals[[#This Row],[Total_Red_Cards]]*3)</f>
        <v>0</v>
      </c>
      <c r="AL23" s="12">
        <f>INDEX(lkupTeam[],MATCH(tblGroupTotals[[#This Row],[Team_Code]],lkupTeam[Team_Code],0),MATCH("Qualifier_Rank",lkupTeam[#Headers],0))</f>
        <v>31</v>
      </c>
      <c r="AM23" s="12" t="str">
        <f>tblGroupTotals[[#This Row],[Group_Code]]&amp;tblGroupTotals[[#This Row],[Group_Points_Rank]]&amp;tblGroupTotals[[#This Row],[Group_Number]]</f>
        <v>F11</v>
      </c>
      <c r="AN23" s="12" cm="1">
        <f t="array" ref="AN23">SUMPRODUCT((tblGroupTotals[[#This Row],[Group_Code]]=tblGroupTotals[Group_Code])*(tblGroupTotals[[#This Row],[Total_Points]]&lt;tblGroupTotals[Total_Points]))+1</f>
        <v>1</v>
      </c>
      <c r="AO23"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3"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3" s="12" cm="1">
        <f t="array" ref="AQ23">SUMPRODUCT((tblGroupTotals[[#This Row],[Group_Code]]=tblGroupTotals[Group_Code])*(tblGroupTotals[[#This Row],[Goal_Difference]]&lt;tblGroupTotals[Goal_Difference]))+1</f>
        <v>1</v>
      </c>
      <c r="AR23" s="12" cm="1">
        <f t="array" ref="AR23">SUMPRODUCT((tblGroupTotals[[#This Row],[Group_Code]]=tblGroupTotals[Group_Code])*(tblGroupTotals[[#This Row],[Total_Goals_For]]&lt;tblGroupTotals[Total_Goals_For]))+1</f>
        <v>1</v>
      </c>
      <c r="AS23" s="12" cm="1">
        <f t="array" ref="AS23">SUMPRODUCT((tblGroupTotals[[#This Row],[Group_Code]]=tblGroupTotals[Group_Code])*(tblGroupTotals[[#This Row],[Total_Wins]]&lt;tblGroupTotals[Total_Wins]))+1</f>
        <v>1</v>
      </c>
      <c r="AT23" s="12" cm="1">
        <f t="array" ref="AT23">SUMPRODUCT((tblGroupTotals[[#This Row],[Group_Code]]=tblGroupTotals[Group_Code])*(tblGroupTotals[[#This Row],[Total_Penalties]]&lt;tblGroupTotals[Total_Penalties]))+1</f>
        <v>1</v>
      </c>
      <c r="AU23" s="12" cm="1">
        <f t="array" ref="AU23">SUMPRODUCT((tblGroupTotals[[#This Row],[Group_Code]]=tblGroupTotals[Group_Code])*(tblGroupTotals[[#This Row],[Total_Diciplinary_Points]]&gt;tblGroupTotals[Total_Diciplinary_Points]))+1</f>
        <v>1</v>
      </c>
      <c r="AV23" s="12" cm="1">
        <f t="array" ref="AV23">SUMPRODUCT((tblGroupTotals[[#This Row],[Group_Code]]=tblGroupTotals[Group_Code])*(tblGroupTotals[[#This Row],[Qualifier_Rank_Position]]&gt;tblGroupTotals[Qualifier_Rank_Position]))+1</f>
        <v>4</v>
      </c>
      <c r="AW23"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23" s="12" cm="1">
        <f t="array" aca="1" ref="AX23" ca="1">SUMPRODUCT((tblGroupTotals[[#This Row],[Group_Code]]=tblGroupTotals[Group_Code])*(tblGroupTotals[[#This Row],[Total_Group_Rank_Value]]&gt;tblGroupTotals[Total_Group_Rank_Value]))+1</f>
        <v>4</v>
      </c>
      <c r="AY23" s="12" t="str">
        <f ca="1">tblGroupTotals[[#This Row],[Group_Code]]&amp;tblGroupTotals[[#This Row],[Group_Rank]]</f>
        <v>F4</v>
      </c>
    </row>
    <row r="24" spans="2:51" x14ac:dyDescent="0.25">
      <c r="B24" t="s">
        <v>236</v>
      </c>
      <c r="C24" s="12" t="str">
        <f>LEFT(tblGroupTotals[[#This Row],[Team_Code]],1)</f>
        <v>F</v>
      </c>
      <c r="D24" s="12" t="str">
        <f>RIGHT(tblGroupTotals[[#This Row],[Team_Code]],1)</f>
        <v>2</v>
      </c>
      <c r="E24" s="12">
        <f>INDEX(lkupTeam[],MATCH(tblGroupTotals[[#This Row],[Team_Code]],lkupTeam[Team_Code],0),MATCH("Team_Number",lkupTeam[#Headers],0))</f>
        <v>22</v>
      </c>
      <c r="F24">
        <f>COUNTIFS(tblGroupMatch[Home_Team_Number],tblGroupTotals[[#This Row],[Team_Number]],tblGroupMatch[Is_Complete],TRUE)</f>
        <v>0</v>
      </c>
      <c r="G24" s="12">
        <f>SUMIFS(tblGroupMatch[Home_Points],tblGroupMatch[Home_Team_Number],tblGroupTotals[[#This Row],[Team_Number]])</f>
        <v>0</v>
      </c>
      <c r="H24" s="12">
        <f>SUMIFS(tblGroupMatch[Team A Goals],tblGroupMatch[Home_Team_Number],tblGroupTotals[[#This Row],[Team_Number]])</f>
        <v>0</v>
      </c>
      <c r="I24" s="12">
        <f>SUMIFS(tblGroupMatch[Team B Goals],tblGroupMatch[Home_Team_Number],tblGroupTotals[[#This Row],[Team_Number]])</f>
        <v>0</v>
      </c>
      <c r="J24">
        <f>COUNTIFS(tblGroupMatch[Home_Team_Number],tblGroupTotals[[#This Row],[Team_Number]],tblGroupMatch[Home_Points],3)</f>
        <v>0</v>
      </c>
      <c r="K24">
        <f>COUNTIFS(tblGroupMatch[Home_Team_Number],tblGroupTotals[[#This Row],[Team_Number]],tblGroupMatch[Home_Points],1)</f>
        <v>0</v>
      </c>
      <c r="L24">
        <f>COUNTIFS(tblGroupMatch[Home_Team_Number],tblGroupTotals[[#This Row],[Team_Number]],tblGroupMatch[Home_Points],0)</f>
        <v>0</v>
      </c>
      <c r="M24" s="12">
        <f>SUMIFS(tblGroupMatch[Team A YCs],tblGroupMatch[Home_Team_Number],tblGroupTotals[[#This Row],[Team_Number]])</f>
        <v>0</v>
      </c>
      <c r="N24" s="12">
        <f>SUMIFS(tblGroupMatch[Team A RCs],tblGroupMatch[Home_Team_Number],tblGroupTotals[[#This Row],[Team_Number]])</f>
        <v>0</v>
      </c>
      <c r="O24" s="12">
        <f>SUMIFS(tblGroupMatch[Team A Penalties],tblGroupMatch[Home_Team_Number],tblGroupTotals[[#This Row],[Team_Number]])</f>
        <v>0</v>
      </c>
      <c r="P24">
        <f>COUNTIFS(tblGroupMatch[Away_Team_Number],tblGroupTotals[[#This Row],[Team_Number]],tblGroupMatch[Is_Complete],TRUE)</f>
        <v>0</v>
      </c>
      <c r="Q24" s="12">
        <f>SUMIFS(tblGroupMatch[Away_Points],tblGroupMatch[Away_Team_Number],tblGroupTotals[[#This Row],[Team_Number]])</f>
        <v>0</v>
      </c>
      <c r="R24" s="12">
        <f>SUMIFS(tblGroupMatch[Team B Goals],tblGroupMatch[Away_Team_Number],tblGroupTotals[[#This Row],[Team_Number]])</f>
        <v>0</v>
      </c>
      <c r="S24" s="12">
        <f>SUMIFS(tblGroupMatch[Team A Goals],tblGroupMatch[Away_Team_Number],tblGroupTotals[[#This Row],[Team_Number]])</f>
        <v>0</v>
      </c>
      <c r="T24">
        <f>COUNTIFS(tblGroupMatch[Away_Team_Number],tblGroupTotals[[#This Row],[Team_Number]],tblGroupMatch[Away_Points],3)</f>
        <v>0</v>
      </c>
      <c r="U24">
        <f>COUNTIFS(tblGroupMatch[Away_Team_Number],tblGroupTotals[[#This Row],[Team_Number]],tblGroupMatch[Away_Points],1)</f>
        <v>0</v>
      </c>
      <c r="V24">
        <f>COUNTIFS(tblGroupMatch[Away_Team_Number],tblGroupTotals[[#This Row],[Team_Number]],tblGroupMatch[Away_Points],0)</f>
        <v>0</v>
      </c>
      <c r="W24" s="12">
        <f>SUMIFS(tblGroupMatch[Team B Ycs],tblGroupMatch[Away_Team_Number],tblGroupTotals[[#This Row],[Team_Number]])</f>
        <v>0</v>
      </c>
      <c r="X24" s="12">
        <f>SUMIFS(tblGroupMatch[Team B RCs],tblGroupMatch[Away_Team_Number],tblGroupTotals[[#This Row],[Team_Number]])</f>
        <v>0</v>
      </c>
      <c r="Y24" s="12">
        <f>SUMIFS(tblGroupMatch[Team B Penalties],tblGroupMatch[Away_Team_Number],tblGroupTotals[[#This Row],[Team_Number]])</f>
        <v>0</v>
      </c>
      <c r="Z24">
        <f>SUM(tblGroupTotals[[#This Row],[Home_Games]],tblGroupTotals[[#This Row],[Away_Games]])</f>
        <v>0</v>
      </c>
      <c r="AA24" s="12">
        <f>SUM(tblGroupTotals[[#This Row],[Home_Points]],tblGroupTotals[[#This Row],[Away_Points]])</f>
        <v>0</v>
      </c>
      <c r="AB24" s="12">
        <f>tblGroupTotals[[#This Row],[Total_Goals_For]]-tblGroupTotals[[#This Row],[Total_Goals_Against]]</f>
        <v>0</v>
      </c>
      <c r="AC24" s="12">
        <f>SUM(tblGroupTotals[[#This Row],[Home_Goals_For]],tblGroupTotals[[#This Row],[Away_Goals_For]])</f>
        <v>0</v>
      </c>
      <c r="AD24" s="12">
        <f>SUM(tblGroupTotals[[#This Row],[Home_Goals_Against]],tblGroupTotals[[#This Row],[Away_Goals_Against]])</f>
        <v>0</v>
      </c>
      <c r="AE24" s="12">
        <f>SUM(tblGroupTotals[[#This Row],[Home_Wins]],tblGroupTotals[[#This Row],[Away_Wins]])</f>
        <v>0</v>
      </c>
      <c r="AF24" s="12">
        <f>SUM(tblGroupTotals[[#This Row],[Home_Draws]],tblGroupTotals[[#This Row],[Away_Draws]])</f>
        <v>0</v>
      </c>
      <c r="AG24" s="12">
        <f>SUM(tblGroupTotals[[#This Row],[Home_Loses]],tblGroupTotals[[#This Row],[Away_Loses]])</f>
        <v>0</v>
      </c>
      <c r="AH24" s="12">
        <f>SUM(tblGroupTotals[[#This Row],[Home_Yellow_Cards]],tblGroupTotals[[#This Row],[Away_Yellow_Cards]])</f>
        <v>0</v>
      </c>
      <c r="AI24" s="12">
        <f>SUM(tblGroupTotals[[#This Row],[Home_Red_Cards]],tblGroupTotals[[#This Row],[Away_Red_Cards]])</f>
        <v>0</v>
      </c>
      <c r="AJ24" s="12">
        <f>SUM(tblGroupTotals[[#This Row],[Home_Penalties]],tblGroupTotals[[#This Row],[Away_Penalties]])</f>
        <v>0</v>
      </c>
      <c r="AK24" s="12">
        <f>SUM(tblGroupTotals[[#This Row],[Total_Yellow_Cards]],tblGroupTotals[[#This Row],[Total_Red_Cards]]*3)</f>
        <v>0</v>
      </c>
      <c r="AL24" s="12">
        <f>INDEX(lkupTeam[],MATCH(tblGroupTotals[[#This Row],[Team_Code]],lkupTeam[Team_Code],0),MATCH("Qualifier_Rank",lkupTeam[#Headers],0))</f>
        <v>13</v>
      </c>
      <c r="AM24" s="12" t="str">
        <f>tblGroupTotals[[#This Row],[Group_Code]]&amp;tblGroupTotals[[#This Row],[Group_Points_Rank]]&amp;tblGroupTotals[[#This Row],[Group_Number]]</f>
        <v>F12</v>
      </c>
      <c r="AN24" s="12" cm="1">
        <f t="array" ref="AN24">SUMPRODUCT((tblGroupTotals[[#This Row],[Group_Code]]=tblGroupTotals[Group_Code])*(tblGroupTotals[[#This Row],[Total_Points]]&lt;tblGroupTotals[Total_Points]))+1</f>
        <v>1</v>
      </c>
      <c r="AO24"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4"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4" s="12" cm="1">
        <f t="array" ref="AQ24">SUMPRODUCT((tblGroupTotals[[#This Row],[Group_Code]]=tblGroupTotals[Group_Code])*(tblGroupTotals[[#This Row],[Goal_Difference]]&lt;tblGroupTotals[Goal_Difference]))+1</f>
        <v>1</v>
      </c>
      <c r="AR24" s="12" cm="1">
        <f t="array" ref="AR24">SUMPRODUCT((tblGroupTotals[[#This Row],[Group_Code]]=tblGroupTotals[Group_Code])*(tblGroupTotals[[#This Row],[Total_Goals_For]]&lt;tblGroupTotals[Total_Goals_For]))+1</f>
        <v>1</v>
      </c>
      <c r="AS24" s="12" cm="1">
        <f t="array" ref="AS24">SUMPRODUCT((tblGroupTotals[[#This Row],[Group_Code]]=tblGroupTotals[Group_Code])*(tblGroupTotals[[#This Row],[Total_Wins]]&lt;tblGroupTotals[Total_Wins]))+1</f>
        <v>1</v>
      </c>
      <c r="AT24" s="12" cm="1">
        <f t="array" ref="AT24">SUMPRODUCT((tblGroupTotals[[#This Row],[Group_Code]]=tblGroupTotals[Group_Code])*(tblGroupTotals[[#This Row],[Total_Penalties]]&lt;tblGroupTotals[Total_Penalties]))+1</f>
        <v>1</v>
      </c>
      <c r="AU24" s="12" cm="1">
        <f t="array" ref="AU24">SUMPRODUCT((tblGroupTotals[[#This Row],[Group_Code]]=tblGroupTotals[Group_Code])*(tblGroupTotals[[#This Row],[Total_Diciplinary_Points]]&gt;tblGroupTotals[Total_Diciplinary_Points]))+1</f>
        <v>1</v>
      </c>
      <c r="AV24" s="12" cm="1">
        <f t="array" ref="AV24">SUMPRODUCT((tblGroupTotals[[#This Row],[Group_Code]]=tblGroupTotals[Group_Code])*(tblGroupTotals[[#This Row],[Qualifier_Rank_Position]]&gt;tblGroupTotals[Qualifier_Rank_Position]))+1</f>
        <v>3</v>
      </c>
      <c r="AW24"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24" s="12" cm="1">
        <f t="array" aca="1" ref="AX24" ca="1">SUMPRODUCT((tblGroupTotals[[#This Row],[Group_Code]]=tblGroupTotals[Group_Code])*(tblGroupTotals[[#This Row],[Total_Group_Rank_Value]]&gt;tblGroupTotals[Total_Group_Rank_Value]))+1</f>
        <v>3</v>
      </c>
      <c r="AY24" s="12" t="str">
        <f ca="1">tblGroupTotals[[#This Row],[Group_Code]]&amp;tblGroupTotals[[#This Row],[Group_Rank]]</f>
        <v>F3</v>
      </c>
    </row>
    <row r="25" spans="2:51" x14ac:dyDescent="0.25">
      <c r="B25" t="s">
        <v>237</v>
      </c>
      <c r="C25" s="12" t="str">
        <f>LEFT(tblGroupTotals[[#This Row],[Team_Code]],1)</f>
        <v>F</v>
      </c>
      <c r="D25" s="12" t="str">
        <f>RIGHT(tblGroupTotals[[#This Row],[Team_Code]],1)</f>
        <v>3</v>
      </c>
      <c r="E25" s="12">
        <f>INDEX(lkupTeam[],MATCH(tblGroupTotals[[#This Row],[Team_Code]],lkupTeam[Team_Code],0),MATCH("Team_Number",lkupTeam[#Headers],0))</f>
        <v>23</v>
      </c>
      <c r="F25">
        <f>COUNTIFS(tblGroupMatch[Home_Team_Number],tblGroupTotals[[#This Row],[Team_Number]],tblGroupMatch[Is_Complete],TRUE)</f>
        <v>0</v>
      </c>
      <c r="G25" s="12">
        <f>SUMIFS(tblGroupMatch[Home_Points],tblGroupMatch[Home_Team_Number],tblGroupTotals[[#This Row],[Team_Number]])</f>
        <v>0</v>
      </c>
      <c r="H25" s="12">
        <f>SUMIFS(tblGroupMatch[Team A Goals],tblGroupMatch[Home_Team_Number],tblGroupTotals[[#This Row],[Team_Number]])</f>
        <v>0</v>
      </c>
      <c r="I25" s="12">
        <f>SUMIFS(tblGroupMatch[Team B Goals],tblGroupMatch[Home_Team_Number],tblGroupTotals[[#This Row],[Team_Number]])</f>
        <v>0</v>
      </c>
      <c r="J25">
        <f>COUNTIFS(tblGroupMatch[Home_Team_Number],tblGroupTotals[[#This Row],[Team_Number]],tblGroupMatch[Home_Points],3)</f>
        <v>0</v>
      </c>
      <c r="K25">
        <f>COUNTIFS(tblGroupMatch[Home_Team_Number],tblGroupTotals[[#This Row],[Team_Number]],tblGroupMatch[Home_Points],1)</f>
        <v>0</v>
      </c>
      <c r="L25">
        <f>COUNTIFS(tblGroupMatch[Home_Team_Number],tblGroupTotals[[#This Row],[Team_Number]],tblGroupMatch[Home_Points],0)</f>
        <v>0</v>
      </c>
      <c r="M25" s="12">
        <f>SUMIFS(tblGroupMatch[Team A YCs],tblGroupMatch[Home_Team_Number],tblGroupTotals[[#This Row],[Team_Number]])</f>
        <v>0</v>
      </c>
      <c r="N25" s="12">
        <f>SUMIFS(tblGroupMatch[Team A RCs],tblGroupMatch[Home_Team_Number],tblGroupTotals[[#This Row],[Team_Number]])</f>
        <v>0</v>
      </c>
      <c r="O25" s="12">
        <f>SUMIFS(tblGroupMatch[Team A Penalties],tblGroupMatch[Home_Team_Number],tblGroupTotals[[#This Row],[Team_Number]])</f>
        <v>0</v>
      </c>
      <c r="P25">
        <f>COUNTIFS(tblGroupMatch[Away_Team_Number],tblGroupTotals[[#This Row],[Team_Number]],tblGroupMatch[Is_Complete],TRUE)</f>
        <v>0</v>
      </c>
      <c r="Q25" s="12">
        <f>SUMIFS(tblGroupMatch[Away_Points],tblGroupMatch[Away_Team_Number],tblGroupTotals[[#This Row],[Team_Number]])</f>
        <v>0</v>
      </c>
      <c r="R25" s="12">
        <f>SUMIFS(tblGroupMatch[Team B Goals],tblGroupMatch[Away_Team_Number],tblGroupTotals[[#This Row],[Team_Number]])</f>
        <v>0</v>
      </c>
      <c r="S25" s="12">
        <f>SUMIFS(tblGroupMatch[Team A Goals],tblGroupMatch[Away_Team_Number],tblGroupTotals[[#This Row],[Team_Number]])</f>
        <v>0</v>
      </c>
      <c r="T25">
        <f>COUNTIFS(tblGroupMatch[Away_Team_Number],tblGroupTotals[[#This Row],[Team_Number]],tblGroupMatch[Away_Points],3)</f>
        <v>0</v>
      </c>
      <c r="U25">
        <f>COUNTIFS(tblGroupMatch[Away_Team_Number],tblGroupTotals[[#This Row],[Team_Number]],tblGroupMatch[Away_Points],1)</f>
        <v>0</v>
      </c>
      <c r="V25">
        <f>COUNTIFS(tblGroupMatch[Away_Team_Number],tblGroupTotals[[#This Row],[Team_Number]],tblGroupMatch[Away_Points],0)</f>
        <v>0</v>
      </c>
      <c r="W25" s="12">
        <f>SUMIFS(tblGroupMatch[Team B Ycs],tblGroupMatch[Away_Team_Number],tblGroupTotals[[#This Row],[Team_Number]])</f>
        <v>0</v>
      </c>
      <c r="X25" s="12">
        <f>SUMIFS(tblGroupMatch[Team B RCs],tblGroupMatch[Away_Team_Number],tblGroupTotals[[#This Row],[Team_Number]])</f>
        <v>0</v>
      </c>
      <c r="Y25" s="12">
        <f>SUMIFS(tblGroupMatch[Team B Penalties],tblGroupMatch[Away_Team_Number],tblGroupTotals[[#This Row],[Team_Number]])</f>
        <v>0</v>
      </c>
      <c r="Z25">
        <f>SUM(tblGroupTotals[[#This Row],[Home_Games]],tblGroupTotals[[#This Row],[Away_Games]])</f>
        <v>0</v>
      </c>
      <c r="AA25" s="12">
        <f>SUM(tblGroupTotals[[#This Row],[Home_Points]],tblGroupTotals[[#This Row],[Away_Points]])</f>
        <v>0</v>
      </c>
      <c r="AB25" s="12">
        <f>tblGroupTotals[[#This Row],[Total_Goals_For]]-tblGroupTotals[[#This Row],[Total_Goals_Against]]</f>
        <v>0</v>
      </c>
      <c r="AC25" s="12">
        <f>SUM(tblGroupTotals[[#This Row],[Home_Goals_For]],tblGroupTotals[[#This Row],[Away_Goals_For]])</f>
        <v>0</v>
      </c>
      <c r="AD25" s="12">
        <f>SUM(tblGroupTotals[[#This Row],[Home_Goals_Against]],tblGroupTotals[[#This Row],[Away_Goals_Against]])</f>
        <v>0</v>
      </c>
      <c r="AE25" s="12">
        <f>SUM(tblGroupTotals[[#This Row],[Home_Wins]],tblGroupTotals[[#This Row],[Away_Wins]])</f>
        <v>0</v>
      </c>
      <c r="AF25" s="12">
        <f>SUM(tblGroupTotals[[#This Row],[Home_Draws]],tblGroupTotals[[#This Row],[Away_Draws]])</f>
        <v>0</v>
      </c>
      <c r="AG25" s="12">
        <f>SUM(tblGroupTotals[[#This Row],[Home_Loses]],tblGroupTotals[[#This Row],[Away_Loses]])</f>
        <v>0</v>
      </c>
      <c r="AH25" s="12">
        <f>SUM(tblGroupTotals[[#This Row],[Home_Yellow_Cards]],tblGroupTotals[[#This Row],[Away_Yellow_Cards]])</f>
        <v>0</v>
      </c>
      <c r="AI25" s="12">
        <f>SUM(tblGroupTotals[[#This Row],[Home_Red_Cards]],tblGroupTotals[[#This Row],[Away_Red_Cards]])</f>
        <v>0</v>
      </c>
      <c r="AJ25" s="12">
        <f>SUM(tblGroupTotals[[#This Row],[Home_Penalties]],tblGroupTotals[[#This Row],[Away_Penalties]])</f>
        <v>0</v>
      </c>
      <c r="AK25" s="12">
        <f>SUM(tblGroupTotals[[#This Row],[Total_Yellow_Cards]],tblGroupTotals[[#This Row],[Total_Red_Cards]]*3)</f>
        <v>0</v>
      </c>
      <c r="AL25" s="12">
        <f>INDEX(lkupTeam[],MATCH(tblGroupTotals[[#This Row],[Team_Code]],lkupTeam[Team_Code],0),MATCH("Qualifier_Rank",lkupTeam[#Headers],0))</f>
        <v>7</v>
      </c>
      <c r="AM25" s="12" t="str">
        <f>tblGroupTotals[[#This Row],[Group_Code]]&amp;tblGroupTotals[[#This Row],[Group_Points_Rank]]&amp;tblGroupTotals[[#This Row],[Group_Number]]</f>
        <v>F13</v>
      </c>
      <c r="AN25" s="12" cm="1">
        <f t="array" ref="AN25">SUMPRODUCT((tblGroupTotals[[#This Row],[Group_Code]]=tblGroupTotals[Group_Code])*(tblGroupTotals[[#This Row],[Total_Points]]&lt;tblGroupTotals[Total_Points]))+1</f>
        <v>1</v>
      </c>
      <c r="AO25"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5"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5" s="12" cm="1">
        <f t="array" ref="AQ25">SUMPRODUCT((tblGroupTotals[[#This Row],[Group_Code]]=tblGroupTotals[Group_Code])*(tblGroupTotals[[#This Row],[Goal_Difference]]&lt;tblGroupTotals[Goal_Difference]))+1</f>
        <v>1</v>
      </c>
      <c r="AR25" s="12" cm="1">
        <f t="array" ref="AR25">SUMPRODUCT((tblGroupTotals[[#This Row],[Group_Code]]=tblGroupTotals[Group_Code])*(tblGroupTotals[[#This Row],[Total_Goals_For]]&lt;tblGroupTotals[Total_Goals_For]))+1</f>
        <v>1</v>
      </c>
      <c r="AS25" s="12" cm="1">
        <f t="array" ref="AS25">SUMPRODUCT((tblGroupTotals[[#This Row],[Group_Code]]=tblGroupTotals[Group_Code])*(tblGroupTotals[[#This Row],[Total_Wins]]&lt;tblGroupTotals[Total_Wins]))+1</f>
        <v>1</v>
      </c>
      <c r="AT25" s="12" cm="1">
        <f t="array" ref="AT25">SUMPRODUCT((tblGroupTotals[[#This Row],[Group_Code]]=tblGroupTotals[Group_Code])*(tblGroupTotals[[#This Row],[Total_Penalties]]&lt;tblGroupTotals[Total_Penalties]))+1</f>
        <v>1</v>
      </c>
      <c r="AU25" s="12" cm="1">
        <f t="array" ref="AU25">SUMPRODUCT((tblGroupTotals[[#This Row],[Group_Code]]=tblGroupTotals[Group_Code])*(tblGroupTotals[[#This Row],[Total_Diciplinary_Points]]&gt;tblGroupTotals[Total_Diciplinary_Points]))+1</f>
        <v>1</v>
      </c>
      <c r="AV25" s="12" cm="1">
        <f t="array" ref="AV25">SUMPRODUCT((tblGroupTotals[[#This Row],[Group_Code]]=tblGroupTotals[Group_Code])*(tblGroupTotals[[#This Row],[Qualifier_Rank_Position]]&gt;tblGroupTotals[Qualifier_Rank_Position]))+1</f>
        <v>2</v>
      </c>
      <c r="AW25"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25" s="12" cm="1">
        <f t="array" aca="1" ref="AX25" ca="1">SUMPRODUCT((tblGroupTotals[[#This Row],[Group_Code]]=tblGroupTotals[Group_Code])*(tblGroupTotals[[#This Row],[Total_Group_Rank_Value]]&gt;tblGroupTotals[Total_Group_Rank_Value]))+1</f>
        <v>2</v>
      </c>
      <c r="AY25" s="12" t="str">
        <f ca="1">tblGroupTotals[[#This Row],[Group_Code]]&amp;tblGroupTotals[[#This Row],[Group_Rank]]</f>
        <v>F2</v>
      </c>
    </row>
    <row r="26" spans="2:51" x14ac:dyDescent="0.25">
      <c r="B26" t="s">
        <v>238</v>
      </c>
      <c r="C26" s="12" t="str">
        <f>LEFT(tblGroupTotals[[#This Row],[Team_Code]],1)</f>
        <v>F</v>
      </c>
      <c r="D26" s="12" t="str">
        <f>RIGHT(tblGroupTotals[[#This Row],[Team_Code]],1)</f>
        <v>4</v>
      </c>
      <c r="E26" s="12">
        <f>INDEX(lkupTeam[],MATCH(tblGroupTotals[[#This Row],[Team_Code]],lkupTeam[Team_Code],0),MATCH("Team_Number",lkupTeam[#Headers],0))</f>
        <v>24</v>
      </c>
      <c r="F26">
        <f>COUNTIFS(tblGroupMatch[Home_Team_Number],tblGroupTotals[[#This Row],[Team_Number]],tblGroupMatch[Is_Complete],TRUE)</f>
        <v>0</v>
      </c>
      <c r="G26" s="12">
        <f>SUMIFS(tblGroupMatch[Home_Points],tblGroupMatch[Home_Team_Number],tblGroupTotals[[#This Row],[Team_Number]])</f>
        <v>0</v>
      </c>
      <c r="H26" s="12">
        <f>SUMIFS(tblGroupMatch[Team A Goals],tblGroupMatch[Home_Team_Number],tblGroupTotals[[#This Row],[Team_Number]])</f>
        <v>0</v>
      </c>
      <c r="I26" s="12">
        <f>SUMIFS(tblGroupMatch[Team B Goals],tblGroupMatch[Home_Team_Number],tblGroupTotals[[#This Row],[Team_Number]])</f>
        <v>0</v>
      </c>
      <c r="J26">
        <f>COUNTIFS(tblGroupMatch[Home_Team_Number],tblGroupTotals[[#This Row],[Team_Number]],tblGroupMatch[Home_Points],3)</f>
        <v>0</v>
      </c>
      <c r="K26">
        <f>COUNTIFS(tblGroupMatch[Home_Team_Number],tblGroupTotals[[#This Row],[Team_Number]],tblGroupMatch[Home_Points],1)</f>
        <v>0</v>
      </c>
      <c r="L26">
        <f>COUNTIFS(tblGroupMatch[Home_Team_Number],tblGroupTotals[[#This Row],[Team_Number]],tblGroupMatch[Home_Points],0)</f>
        <v>0</v>
      </c>
      <c r="M26" s="12">
        <f>SUMIFS(tblGroupMatch[Team A YCs],tblGroupMatch[Home_Team_Number],tblGroupTotals[[#This Row],[Team_Number]])</f>
        <v>0</v>
      </c>
      <c r="N26" s="12">
        <f>SUMIFS(tblGroupMatch[Team A RCs],tblGroupMatch[Home_Team_Number],tblGroupTotals[[#This Row],[Team_Number]])</f>
        <v>0</v>
      </c>
      <c r="O26" s="12">
        <f>SUMIFS(tblGroupMatch[Team A Penalties],tblGroupMatch[Home_Team_Number],tblGroupTotals[[#This Row],[Team_Number]])</f>
        <v>0</v>
      </c>
      <c r="P26">
        <f>COUNTIFS(tblGroupMatch[Away_Team_Number],tblGroupTotals[[#This Row],[Team_Number]],tblGroupMatch[Is_Complete],TRUE)</f>
        <v>0</v>
      </c>
      <c r="Q26" s="12">
        <f>SUMIFS(tblGroupMatch[Away_Points],tblGroupMatch[Away_Team_Number],tblGroupTotals[[#This Row],[Team_Number]])</f>
        <v>0</v>
      </c>
      <c r="R26" s="12">
        <f>SUMIFS(tblGroupMatch[Team B Goals],tblGroupMatch[Away_Team_Number],tblGroupTotals[[#This Row],[Team_Number]])</f>
        <v>0</v>
      </c>
      <c r="S26" s="12">
        <f>SUMIFS(tblGroupMatch[Team A Goals],tblGroupMatch[Away_Team_Number],tblGroupTotals[[#This Row],[Team_Number]])</f>
        <v>0</v>
      </c>
      <c r="T26">
        <f>COUNTIFS(tblGroupMatch[Away_Team_Number],tblGroupTotals[[#This Row],[Team_Number]],tblGroupMatch[Away_Points],3)</f>
        <v>0</v>
      </c>
      <c r="U26">
        <f>COUNTIFS(tblGroupMatch[Away_Team_Number],tblGroupTotals[[#This Row],[Team_Number]],tblGroupMatch[Away_Points],1)</f>
        <v>0</v>
      </c>
      <c r="V26">
        <f>COUNTIFS(tblGroupMatch[Away_Team_Number],tblGroupTotals[[#This Row],[Team_Number]],tblGroupMatch[Away_Points],0)</f>
        <v>0</v>
      </c>
      <c r="W26" s="12">
        <f>SUMIFS(tblGroupMatch[Team B Ycs],tblGroupMatch[Away_Team_Number],tblGroupTotals[[#This Row],[Team_Number]])</f>
        <v>0</v>
      </c>
      <c r="X26" s="12">
        <f>SUMIFS(tblGroupMatch[Team B RCs],tblGroupMatch[Away_Team_Number],tblGroupTotals[[#This Row],[Team_Number]])</f>
        <v>0</v>
      </c>
      <c r="Y26" s="12">
        <f>SUMIFS(tblGroupMatch[Team B Penalties],tblGroupMatch[Away_Team_Number],tblGroupTotals[[#This Row],[Team_Number]])</f>
        <v>0</v>
      </c>
      <c r="Z26">
        <f>SUM(tblGroupTotals[[#This Row],[Home_Games]],tblGroupTotals[[#This Row],[Away_Games]])</f>
        <v>0</v>
      </c>
      <c r="AA26" s="12">
        <f>SUM(tblGroupTotals[[#This Row],[Home_Points]],tblGroupTotals[[#This Row],[Away_Points]])</f>
        <v>0</v>
      </c>
      <c r="AB26" s="12">
        <f>tblGroupTotals[[#This Row],[Total_Goals_For]]-tblGroupTotals[[#This Row],[Total_Goals_Against]]</f>
        <v>0</v>
      </c>
      <c r="AC26" s="12">
        <f>SUM(tblGroupTotals[[#This Row],[Home_Goals_For]],tblGroupTotals[[#This Row],[Away_Goals_For]])</f>
        <v>0</v>
      </c>
      <c r="AD26" s="12">
        <f>SUM(tblGroupTotals[[#This Row],[Home_Goals_Against]],tblGroupTotals[[#This Row],[Away_Goals_Against]])</f>
        <v>0</v>
      </c>
      <c r="AE26" s="12">
        <f>SUM(tblGroupTotals[[#This Row],[Home_Wins]],tblGroupTotals[[#This Row],[Away_Wins]])</f>
        <v>0</v>
      </c>
      <c r="AF26" s="12">
        <f>SUM(tblGroupTotals[[#This Row],[Home_Draws]],tblGroupTotals[[#This Row],[Away_Draws]])</f>
        <v>0</v>
      </c>
      <c r="AG26" s="12">
        <f>SUM(tblGroupTotals[[#This Row],[Home_Loses]],tblGroupTotals[[#This Row],[Away_Loses]])</f>
        <v>0</v>
      </c>
      <c r="AH26" s="12">
        <f>SUM(tblGroupTotals[[#This Row],[Home_Yellow_Cards]],tblGroupTotals[[#This Row],[Away_Yellow_Cards]])</f>
        <v>0</v>
      </c>
      <c r="AI26" s="12">
        <f>SUM(tblGroupTotals[[#This Row],[Home_Red_Cards]],tblGroupTotals[[#This Row],[Away_Red_Cards]])</f>
        <v>0</v>
      </c>
      <c r="AJ26" s="12">
        <f>SUM(tblGroupTotals[[#This Row],[Home_Penalties]],tblGroupTotals[[#This Row],[Away_Penalties]])</f>
        <v>0</v>
      </c>
      <c r="AK26" s="12">
        <f>SUM(tblGroupTotals[[#This Row],[Total_Yellow_Cards]],tblGroupTotals[[#This Row],[Total_Red_Cards]]*3)</f>
        <v>0</v>
      </c>
      <c r="AL26" s="12">
        <f>INDEX(lkupTeam[],MATCH(tblGroupTotals[[#This Row],[Team_Code]],lkupTeam[Team_Code],0),MATCH("Qualifier_Rank",lkupTeam[#Headers],0))</f>
        <v>4</v>
      </c>
      <c r="AM26" s="12" t="str">
        <f>tblGroupTotals[[#This Row],[Group_Code]]&amp;tblGroupTotals[[#This Row],[Group_Points_Rank]]&amp;tblGroupTotals[[#This Row],[Group_Number]]</f>
        <v>F14</v>
      </c>
      <c r="AN26" s="12" cm="1">
        <f t="array" ref="AN26">SUMPRODUCT((tblGroupTotals[[#This Row],[Group_Code]]=tblGroupTotals[Group_Code])*(tblGroupTotals[[#This Row],[Total_Points]]&lt;tblGroupTotals[Total_Points]))+1</f>
        <v>1</v>
      </c>
      <c r="AO26"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6"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6" s="12" cm="1">
        <f t="array" ref="AQ26">SUMPRODUCT((tblGroupTotals[[#This Row],[Group_Code]]=tblGroupTotals[Group_Code])*(tblGroupTotals[[#This Row],[Goal_Difference]]&lt;tblGroupTotals[Goal_Difference]))+1</f>
        <v>1</v>
      </c>
      <c r="AR26" s="12" cm="1">
        <f t="array" ref="AR26">SUMPRODUCT((tblGroupTotals[[#This Row],[Group_Code]]=tblGroupTotals[Group_Code])*(tblGroupTotals[[#This Row],[Total_Goals_For]]&lt;tblGroupTotals[Total_Goals_For]))+1</f>
        <v>1</v>
      </c>
      <c r="AS26" s="12" cm="1">
        <f t="array" ref="AS26">SUMPRODUCT((tblGroupTotals[[#This Row],[Group_Code]]=tblGroupTotals[Group_Code])*(tblGroupTotals[[#This Row],[Total_Wins]]&lt;tblGroupTotals[Total_Wins]))+1</f>
        <v>1</v>
      </c>
      <c r="AT26" s="12" cm="1">
        <f t="array" ref="AT26">SUMPRODUCT((tblGroupTotals[[#This Row],[Group_Code]]=tblGroupTotals[Group_Code])*(tblGroupTotals[[#This Row],[Total_Penalties]]&lt;tblGroupTotals[Total_Penalties]))+1</f>
        <v>1</v>
      </c>
      <c r="AU26" s="12" cm="1">
        <f t="array" ref="AU26">SUMPRODUCT((tblGroupTotals[[#This Row],[Group_Code]]=tblGroupTotals[Group_Code])*(tblGroupTotals[[#This Row],[Total_Diciplinary_Points]]&gt;tblGroupTotals[Total_Diciplinary_Points]))+1</f>
        <v>1</v>
      </c>
      <c r="AV26" s="12" cm="1">
        <f t="array" ref="AV26">SUMPRODUCT((tblGroupTotals[[#This Row],[Group_Code]]=tblGroupTotals[Group_Code])*(tblGroupTotals[[#This Row],[Qualifier_Rank_Position]]&gt;tblGroupTotals[Qualifier_Rank_Position]))+1</f>
        <v>1</v>
      </c>
      <c r="AW26"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26" s="12" cm="1">
        <f t="array" aca="1" ref="AX26" ca="1">SUMPRODUCT((tblGroupTotals[[#This Row],[Group_Code]]=tblGroupTotals[Group_Code])*(tblGroupTotals[[#This Row],[Total_Group_Rank_Value]]&gt;tblGroupTotals[Total_Group_Rank_Value]))+1</f>
        <v>1</v>
      </c>
      <c r="AY26" s="12" t="str">
        <f ca="1">tblGroupTotals[[#This Row],[Group_Code]]&amp;tblGroupTotals[[#This Row],[Group_Rank]]</f>
        <v>F1</v>
      </c>
    </row>
  </sheetData>
  <phoneticPr fontId="2"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7A67F-1E90-4D7B-A27B-B0ACA4DFAA0B}">
  <dimension ref="B2:AT26"/>
  <sheetViews>
    <sheetView zoomScale="85" zoomScaleNormal="85" workbookViewId="0">
      <selection activeCell="D3" sqref="D3"/>
    </sheetView>
  </sheetViews>
  <sheetFormatPr defaultRowHeight="15" x14ac:dyDescent="0.25"/>
  <cols>
    <col min="2" max="2" width="16.7109375" style="1" bestFit="1" customWidth="1"/>
    <col min="3" max="3" width="16" style="1" bestFit="1" customWidth="1"/>
    <col min="4" max="4" width="11.28515625" style="1" bestFit="1" customWidth="1"/>
    <col min="5" max="5" width="21.7109375" style="1" bestFit="1" customWidth="1"/>
    <col min="6" max="6" width="21.7109375" style="1" customWidth="1"/>
    <col min="7" max="10" width="12.7109375" style="1" bestFit="1" customWidth="1"/>
    <col min="11" max="13" width="17.42578125" style="1" bestFit="1" customWidth="1"/>
    <col min="14" max="16" width="19.42578125" customWidth="1"/>
    <col min="17" max="17" width="29" bestFit="1" customWidth="1"/>
    <col min="18" max="18" width="28.7109375" bestFit="1" customWidth="1"/>
    <col min="19" max="19" width="27.140625" customWidth="1"/>
    <col min="20" max="20" width="30.7109375" bestFit="1" customWidth="1"/>
    <col min="21" max="21" width="26.7109375" bestFit="1" customWidth="1"/>
    <col min="22" max="22" width="30.42578125" bestFit="1" customWidth="1"/>
    <col min="23" max="23" width="23.28515625" customWidth="1"/>
    <col min="24" max="24" width="26.140625" bestFit="1" customWidth="1"/>
    <col min="25" max="25" width="29.85546875" bestFit="1" customWidth="1"/>
    <col min="26" max="26" width="31.7109375" bestFit="1" customWidth="1"/>
    <col min="27" max="27" width="24.140625" bestFit="1" customWidth="1"/>
    <col min="28" max="28" width="23.85546875" bestFit="1" customWidth="1"/>
    <col min="29" max="29" width="27.140625" bestFit="1" customWidth="1"/>
    <col min="30" max="30" width="30.7109375" bestFit="1" customWidth="1"/>
    <col min="31" max="31" width="26.7109375" bestFit="1" customWidth="1"/>
    <col min="32" max="32" width="30.42578125" bestFit="1" customWidth="1"/>
    <col min="33" max="33" width="23.28515625" bestFit="1" customWidth="1"/>
    <col min="34" max="34" width="26.140625" bestFit="1" customWidth="1"/>
    <col min="35" max="35" width="29.85546875" bestFit="1" customWidth="1"/>
    <col min="36" max="36" width="31.7109375" bestFit="1" customWidth="1"/>
    <col min="37" max="37" width="24.140625" bestFit="1" customWidth="1"/>
    <col min="38" max="38" width="23.85546875" bestFit="1" customWidth="1"/>
    <col min="39" max="39" width="27.140625" bestFit="1" customWidth="1"/>
    <col min="40" max="40" width="30.7109375" bestFit="1" customWidth="1"/>
    <col min="41" max="41" width="26.7109375" bestFit="1" customWidth="1"/>
    <col min="42" max="42" width="30.42578125" bestFit="1" customWidth="1"/>
    <col min="43" max="43" width="23.28515625" bestFit="1" customWidth="1"/>
    <col min="44" max="44" width="26.140625" bestFit="1" customWidth="1"/>
    <col min="45" max="45" width="29.85546875" bestFit="1" customWidth="1"/>
    <col min="46" max="46" width="31.7109375" bestFit="1" customWidth="1"/>
  </cols>
  <sheetData>
    <row r="2" spans="2:46" x14ac:dyDescent="0.25">
      <c r="B2" s="1" t="s">
        <v>40</v>
      </c>
      <c r="C2" s="1" t="s">
        <v>240</v>
      </c>
      <c r="D2" s="1" t="s">
        <v>245</v>
      </c>
      <c r="E2" s="1" t="s">
        <v>284</v>
      </c>
      <c r="F2" s="1" t="s">
        <v>287</v>
      </c>
      <c r="G2" s="1" t="s">
        <v>241</v>
      </c>
      <c r="H2" s="1" t="s">
        <v>242</v>
      </c>
      <c r="I2" s="1" t="s">
        <v>243</v>
      </c>
      <c r="J2" s="1" t="s">
        <v>244</v>
      </c>
      <c r="K2" s="1" t="s">
        <v>247</v>
      </c>
      <c r="L2" s="1" t="s">
        <v>248</v>
      </c>
      <c r="M2" s="1" t="s">
        <v>249</v>
      </c>
      <c r="N2" s="1" t="s">
        <v>251</v>
      </c>
      <c r="O2" s="1" t="s">
        <v>252</v>
      </c>
      <c r="P2" s="1" t="s">
        <v>253</v>
      </c>
      <c r="Q2" s="1" t="s">
        <v>254</v>
      </c>
      <c r="R2" s="1" t="s">
        <v>255</v>
      </c>
      <c r="S2" s="1" t="s">
        <v>256</v>
      </c>
      <c r="T2" s="1" t="s">
        <v>257</v>
      </c>
      <c r="U2" s="1" t="s">
        <v>258</v>
      </c>
      <c r="V2" s="1" t="s">
        <v>259</v>
      </c>
      <c r="W2" s="1" t="s">
        <v>260</v>
      </c>
      <c r="X2" s="1" t="s">
        <v>261</v>
      </c>
      <c r="Y2" s="1" t="s">
        <v>262</v>
      </c>
      <c r="Z2" s="1" t="s">
        <v>263</v>
      </c>
      <c r="AA2" s="14" t="s">
        <v>264</v>
      </c>
      <c r="AB2" s="14" t="s">
        <v>265</v>
      </c>
      <c r="AC2" s="14" t="s">
        <v>266</v>
      </c>
      <c r="AD2" s="14" t="s">
        <v>267</v>
      </c>
      <c r="AE2" s="14" t="s">
        <v>268</v>
      </c>
      <c r="AF2" s="14" t="s">
        <v>269</v>
      </c>
      <c r="AG2" s="14" t="s">
        <v>270</v>
      </c>
      <c r="AH2" s="14" t="s">
        <v>271</v>
      </c>
      <c r="AI2" s="14" t="s">
        <v>272</v>
      </c>
      <c r="AJ2" s="14" t="s">
        <v>273</v>
      </c>
      <c r="AK2" s="15" t="s">
        <v>274</v>
      </c>
      <c r="AL2" s="15" t="s">
        <v>275</v>
      </c>
      <c r="AM2" s="15" t="s">
        <v>276</v>
      </c>
      <c r="AN2" s="15" t="s">
        <v>277</v>
      </c>
      <c r="AO2" s="15" t="s">
        <v>278</v>
      </c>
      <c r="AP2" s="15" t="s">
        <v>279</v>
      </c>
      <c r="AQ2" s="15" t="s">
        <v>280</v>
      </c>
      <c r="AR2" s="15" t="s">
        <v>281</v>
      </c>
      <c r="AS2" s="15" t="s">
        <v>282</v>
      </c>
      <c r="AT2" s="15" t="s">
        <v>283</v>
      </c>
    </row>
    <row r="3" spans="2:46" x14ac:dyDescent="0.25">
      <c r="B3" s="1" t="s">
        <v>26</v>
      </c>
      <c r="C3" s="1">
        <v>1</v>
      </c>
      <c r="D3" s="1">
        <f>COUNTIFS(tblGroupTotals[Group_Code],tblGroupTieBreakRank[[#This Row],[Group_Code]],tblGroupTotals[Group_Points_Rank],tblGroupTieBreakRank[[#This Row],[Point_Rank]])</f>
        <v>4</v>
      </c>
      <c r="E3" s="1" t="str">
        <f>IF(AND(tblGroupTieBreakRank[[#This Row],[Count]]&gt;1,tblGroupTieBreakRank[[#This Row],[Count]]&lt;4),tblGroupTieBreakRank[[#This Row],[Point_Rank]],"")</f>
        <v/>
      </c>
      <c r="F3" s="1" t="str">
        <f>IF(AND(tblGroupTieBreakRank[[#This Row],[Count]]&gt;1,tblGroupTieBreakRank[[#This Row],[Count]]&lt;4),tblGroupTieBreakRank[[#This Row],[Group_Code]]&amp;tblGroupTieBreakRank[[#This Row],[Point_Rank]],"")</f>
        <v/>
      </c>
      <c r="G3" s="1" t="str">
        <f>IFERROR(INDEX(tblGroupTotals[],MATCH(tblGroupTieBreakRank[[#This Row],[Group_Code]]&amp;tblGroupTieBreakRank[[#This Row],[Point_Rank]]&amp;"1",tblGroupTotals[Group_Points_Rank_Code],0),MATCH("Group_Number",tblGroupTotals[#Headers],0)),"")</f>
        <v>1</v>
      </c>
      <c r="H3" s="1" t="str">
        <f>IFERROR(INDEX(tblGroupTotals[],MATCH(tblGroupTieBreakRank[[#This Row],[Group_Code]]&amp;tblGroupTieBreakRank[[#This Row],[Point_Rank]]&amp;"2",tblGroupTotals[Group_Points_Rank_Code],0),MATCH("Group_Number",tblGroupTotals[#Headers],0)),"")</f>
        <v>2</v>
      </c>
      <c r="I3" s="1" t="str">
        <f>IFERROR(INDEX(tblGroupTotals[],MATCH(tblGroupTieBreakRank[[#This Row],[Group_Code]]&amp;tblGroupTieBreakRank[[#This Row],[Point_Rank]]&amp;"3",tblGroupTotals[Group_Points_Rank_Code],0),MATCH("Group_Number",tblGroupTotals[#Headers],0)),"")</f>
        <v>3</v>
      </c>
      <c r="J3" s="1" t="str">
        <f>IFERROR(INDEX(tblGroupTotals[],MATCH(tblGroupTieBreakRank[[#This Row],[Group_Code]]&amp;tblGroupTieBreakRank[[#This Row],[Point_Rank]]&amp;"4",tblGroupTotals[Group_Points_Rank_Code],0),MATCH("Group_Number",tblGroupTotals[#Headers],0)),"")</f>
        <v>4</v>
      </c>
      <c r="K3"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3"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3" s="13" t="str">
        <f>IF(tblGroupTieBreakRank[[#This Row],[Count]]&gt;=3,IF(AND(LEN(tblGroupTieBreakRank[[#This Row],[Team 3]])&gt;0,tblGroupTieBreakRank[[#This Row],[Team 3]]&lt;&gt;tblGroupTieBreakRank[[#This Row],[Rank Team 2]]),tblGroupTieBreakRank[[#This Row],[Team 3]],tblGroupTieBreakRank[[#This Row],[Team 4]]),"")</f>
        <v>3</v>
      </c>
      <c r="N3" s="13" t="str">
        <f>IF(OR(tblGroupTieBreakRank[[#This Row],[Count]]=2,tblGroupTieBreakRank[[#This Row],[Count]]=3),tblGroupTieBreakRank[[#This Row],[Group_Code]]&amp;tblGroupTieBreakRank[[#This Row],[Rank Team 1]]&amp;tblGroupTieBreakRank[[#This Row],[Rank Team 2]],"")</f>
        <v/>
      </c>
      <c r="O3" s="13" t="str">
        <f>IF(tblGroupTieBreakRank[[#This Row],[Count]]=3,tblGroupTieBreakRank[[#This Row],[Group_Code]]&amp;tblGroupTieBreakRank[[#This Row],[Rank Team 1]]&amp;tblGroupTieBreakRank[[#This Row],[Rank Team 3]],"")</f>
        <v/>
      </c>
      <c r="P3" s="13" t="str">
        <f>IF(tblGroupTieBreakRank[[#This Row],[Count]]=3,tblGroupTieBreakRank[[#This Row],[Group_Code]]&amp;tblGroupTieBreakRank[[#This Row],[Rank Team 2]]&amp;tblGroupTieBreakRank[[#This Row],[Rank Team 3]],"")</f>
        <v/>
      </c>
      <c r="Q3"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3"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3"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3"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3"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3"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3" s="13">
        <f>SUM(tblGroupTieBreakRank[[#This Row],[Home Points Team 1]:[Away Points Team 1]])</f>
        <v>0</v>
      </c>
      <c r="X3" s="13">
        <f>SUM(tblGroupTieBreakRank[[#This Row],[Home Goals For Team 1]],tblGroupTieBreakRank[[#This Row],[Away Goals For Team 1]])</f>
        <v>0</v>
      </c>
      <c r="Y3" s="13">
        <f>SUM(tblGroupTieBreakRank[[#This Row],[Home Goals Against Team 1]],tblGroupTieBreakRank[[#This Row],[Away Goals Against Team 1]])</f>
        <v>0</v>
      </c>
      <c r="Z3" s="13">
        <f>tblGroupTieBreakRank[[#This Row],[Total Goals For Team 1]]-tblGroupTieBreakRank[[#This Row],[Total Goals Against Team 1]]</f>
        <v>0</v>
      </c>
      <c r="AA3"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3"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3"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3"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3"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3"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3" s="13">
        <f>SUM(tblGroupTieBreakRank[[#This Row],[Home Points Team 2]:[Away Points Team 2]])</f>
        <v>0</v>
      </c>
      <c r="AH3" s="13">
        <f>SUM(tblGroupTieBreakRank[[#This Row],[Home Goals For Team 2]],tblGroupTieBreakRank[[#This Row],[Away Goals For Team 2]])</f>
        <v>0</v>
      </c>
      <c r="AI3" s="13">
        <f>SUM(tblGroupTieBreakRank[[#This Row],[Home Goals Against Team 2]],tblGroupTieBreakRank[[#This Row],[Away Goals Against Team 2]])</f>
        <v>0</v>
      </c>
      <c r="AJ3" s="13">
        <f>tblGroupTieBreakRank[[#This Row],[Total Goals For Team 2]]-tblGroupTieBreakRank[[#This Row],[Total Goals Against Team 2]]</f>
        <v>0</v>
      </c>
      <c r="AK3"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3"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3"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3"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3"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3"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3" s="13">
        <f>SUM(tblGroupTieBreakRank[[#This Row],[Home Points Team 3]:[Away Points Team 3]])</f>
        <v>0</v>
      </c>
      <c r="AR3" s="13">
        <f>SUM(tblGroupTieBreakRank[[#This Row],[Home Goals For Team 3]],tblGroupTieBreakRank[[#This Row],[Away Goals For Team 3]])</f>
        <v>0</v>
      </c>
      <c r="AS3" s="13">
        <f>SUM(tblGroupTieBreakRank[[#This Row],[Home Goals Against Team 3]],tblGroupTieBreakRank[[#This Row],[Away Goals Against Team 3]])</f>
        <v>0</v>
      </c>
      <c r="AT3" s="13">
        <f>tblGroupTieBreakRank[[#This Row],[Total Goals For Team 3]]-tblGroupTieBreakRank[[#This Row],[Total Goals Against Team 3]]</f>
        <v>0</v>
      </c>
    </row>
    <row r="4" spans="2:46" x14ac:dyDescent="0.25">
      <c r="B4" s="1" t="s">
        <v>26</v>
      </c>
      <c r="C4" s="1">
        <v>2</v>
      </c>
      <c r="D4" s="1">
        <f>COUNTIFS(tblGroupTotals[Group_Code],tblGroupTieBreakRank[[#This Row],[Group_Code]],tblGroupTotals[Group_Points_Rank],tblGroupTieBreakRank[[#This Row],[Point_Rank]])</f>
        <v>0</v>
      </c>
      <c r="E4" s="1" t="str">
        <f>IF(AND(tblGroupTieBreakRank[[#This Row],[Count]]&gt;1,tblGroupTieBreakRank[[#This Row],[Count]]&lt;4),tblGroupTieBreakRank[[#This Row],[Point_Rank]],"")</f>
        <v/>
      </c>
      <c r="F4" s="1" t="str">
        <f>IF(AND(tblGroupTieBreakRank[[#This Row],[Count]]&gt;1,tblGroupTieBreakRank[[#This Row],[Count]]&lt;4),tblGroupTieBreakRank[[#This Row],[Group_Code]]&amp;tblGroupTieBreakRank[[#This Row],[Point_Rank]],"")</f>
        <v/>
      </c>
      <c r="G4" s="1" t="str">
        <f>IFERROR(INDEX(tblGroupTotals[],MATCH(tblGroupTieBreakRank[[#This Row],[Group_Code]]&amp;tblGroupTieBreakRank[[#This Row],[Point_Rank]]&amp;"1",tblGroupTotals[Group_Points_Rank_Code],0),MATCH("Group_Number",tblGroupTotals[#Headers],0)),"")</f>
        <v/>
      </c>
      <c r="H4" s="1" t="str">
        <f>IFERROR(INDEX(tblGroupTotals[],MATCH(tblGroupTieBreakRank[[#This Row],[Group_Code]]&amp;tblGroupTieBreakRank[[#This Row],[Point_Rank]]&amp;"2",tblGroupTotals[Group_Points_Rank_Code],0),MATCH("Group_Number",tblGroupTotals[#Headers],0)),"")</f>
        <v/>
      </c>
      <c r="I4" s="1" t="str">
        <f>IFERROR(INDEX(tblGroupTotals[],MATCH(tblGroupTieBreakRank[[#This Row],[Group_Code]]&amp;tblGroupTieBreakRank[[#This Row],[Point_Rank]]&amp;"3",tblGroupTotals[Group_Points_Rank_Code],0),MATCH("Group_Number",tblGroupTotals[#Headers],0)),"")</f>
        <v/>
      </c>
      <c r="J4" s="1" t="str">
        <f>IFERROR(INDEX(tblGroupTotals[],MATCH(tblGroupTieBreakRank[[#This Row],[Group_Code]]&amp;tblGroupTieBreakRank[[#This Row],[Point_Rank]]&amp;"4",tblGroupTotals[Group_Points_Rank_Code],0),MATCH("Group_Number",tblGroupTotals[#Headers],0)),"")</f>
        <v/>
      </c>
      <c r="K4"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4"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4" s="13" t="str">
        <f>IF(tblGroupTieBreakRank[[#This Row],[Count]]&gt;=3,IF(AND(LEN(tblGroupTieBreakRank[[#This Row],[Team 3]])&gt;0,tblGroupTieBreakRank[[#This Row],[Team 3]]&lt;&gt;tblGroupTieBreakRank[[#This Row],[Rank Team 2]]),tblGroupTieBreakRank[[#This Row],[Team 3]],tblGroupTieBreakRank[[#This Row],[Team 4]]),"")</f>
        <v/>
      </c>
      <c r="N4" s="13" t="str">
        <f>IF(OR(tblGroupTieBreakRank[[#This Row],[Count]]=2,tblGroupTieBreakRank[[#This Row],[Count]]=3),tblGroupTieBreakRank[[#This Row],[Group_Code]]&amp;tblGroupTieBreakRank[[#This Row],[Rank Team 1]]&amp;tblGroupTieBreakRank[[#This Row],[Rank Team 2]],"")</f>
        <v/>
      </c>
      <c r="O4" s="13" t="str">
        <f>IF(tblGroupTieBreakRank[[#This Row],[Count]]=3,tblGroupTieBreakRank[[#This Row],[Group_Code]]&amp;tblGroupTieBreakRank[[#This Row],[Rank Team 1]]&amp;tblGroupTieBreakRank[[#This Row],[Rank Team 3]],"")</f>
        <v/>
      </c>
      <c r="P4" s="13" t="str">
        <f>IF(tblGroupTieBreakRank[[#This Row],[Count]]=3,tblGroupTieBreakRank[[#This Row],[Group_Code]]&amp;tblGroupTieBreakRank[[#This Row],[Rank Team 2]]&amp;tblGroupTieBreakRank[[#This Row],[Rank Team 3]],"")</f>
        <v/>
      </c>
      <c r="Q4"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4"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4"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4"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4"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4"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4" s="13">
        <f>SUM(tblGroupTieBreakRank[[#This Row],[Home Points Team 1]:[Away Points Team 1]])</f>
        <v>0</v>
      </c>
      <c r="X4" s="13">
        <f>SUM(tblGroupTieBreakRank[[#This Row],[Home Goals For Team 1]],tblGroupTieBreakRank[[#This Row],[Away Goals For Team 1]])</f>
        <v>0</v>
      </c>
      <c r="Y4" s="13">
        <f>SUM(tblGroupTieBreakRank[[#This Row],[Home Goals Against Team 1]],tblGroupTieBreakRank[[#This Row],[Away Goals Against Team 1]])</f>
        <v>0</v>
      </c>
      <c r="Z4" s="13">
        <f>tblGroupTieBreakRank[[#This Row],[Total Goals For Team 1]]-tblGroupTieBreakRank[[#This Row],[Total Goals Against Team 1]]</f>
        <v>0</v>
      </c>
      <c r="AA4"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4"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4"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4"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4"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4"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4" s="13">
        <f>SUM(tblGroupTieBreakRank[[#This Row],[Home Points Team 2]:[Away Points Team 2]])</f>
        <v>0</v>
      </c>
      <c r="AH4" s="13">
        <f>SUM(tblGroupTieBreakRank[[#This Row],[Home Goals For Team 2]],tblGroupTieBreakRank[[#This Row],[Away Goals For Team 2]])</f>
        <v>0</v>
      </c>
      <c r="AI4" s="13">
        <f>SUM(tblGroupTieBreakRank[[#This Row],[Home Goals Against Team 2]],tblGroupTieBreakRank[[#This Row],[Away Goals Against Team 2]])</f>
        <v>0</v>
      </c>
      <c r="AJ4" s="13">
        <f>tblGroupTieBreakRank[[#This Row],[Total Goals For Team 2]]-tblGroupTieBreakRank[[#This Row],[Total Goals Against Team 2]]</f>
        <v>0</v>
      </c>
      <c r="AK4"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4"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4"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4"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4"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4"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4" s="13">
        <f>SUM(tblGroupTieBreakRank[[#This Row],[Home Points Team 3]:[Away Points Team 3]])</f>
        <v>0</v>
      </c>
      <c r="AR4" s="13">
        <f>SUM(tblGroupTieBreakRank[[#This Row],[Home Goals For Team 3]],tblGroupTieBreakRank[[#This Row],[Away Goals For Team 3]])</f>
        <v>0</v>
      </c>
      <c r="AS4" s="13">
        <f>SUM(tblGroupTieBreakRank[[#This Row],[Home Goals Against Team 3]],tblGroupTieBreakRank[[#This Row],[Away Goals Against Team 3]])</f>
        <v>0</v>
      </c>
      <c r="AT4" s="13">
        <f>tblGroupTieBreakRank[[#This Row],[Total Goals For Team 3]]-tblGroupTieBreakRank[[#This Row],[Total Goals Against Team 3]]</f>
        <v>0</v>
      </c>
    </row>
    <row r="5" spans="2:46" x14ac:dyDescent="0.25">
      <c r="B5" s="1" t="s">
        <v>26</v>
      </c>
      <c r="C5" s="1">
        <v>3</v>
      </c>
      <c r="D5" s="1">
        <f>COUNTIFS(tblGroupTotals[Group_Code],tblGroupTieBreakRank[[#This Row],[Group_Code]],tblGroupTotals[Group_Points_Rank],tblGroupTieBreakRank[[#This Row],[Point_Rank]])</f>
        <v>0</v>
      </c>
      <c r="E5" s="1" t="str">
        <f>IF(AND(tblGroupTieBreakRank[[#This Row],[Count]]&gt;1,tblGroupTieBreakRank[[#This Row],[Count]]&lt;4),tblGroupTieBreakRank[[#This Row],[Point_Rank]],"")</f>
        <v/>
      </c>
      <c r="F5" s="1" t="str">
        <f>IF(AND(tblGroupTieBreakRank[[#This Row],[Count]]&gt;1,tblGroupTieBreakRank[[#This Row],[Count]]&lt;4),tblGroupTieBreakRank[[#This Row],[Group_Code]]&amp;tblGroupTieBreakRank[[#This Row],[Point_Rank]],"")</f>
        <v/>
      </c>
      <c r="G5" s="1" t="str">
        <f>IFERROR(INDEX(tblGroupTotals[],MATCH(tblGroupTieBreakRank[[#This Row],[Group_Code]]&amp;tblGroupTieBreakRank[[#This Row],[Point_Rank]]&amp;"1",tblGroupTotals[Group_Points_Rank_Code],0),MATCH("Group_Number",tblGroupTotals[#Headers],0)),"")</f>
        <v/>
      </c>
      <c r="H5" s="1" t="str">
        <f>IFERROR(INDEX(tblGroupTotals[],MATCH(tblGroupTieBreakRank[[#This Row],[Group_Code]]&amp;tblGroupTieBreakRank[[#This Row],[Point_Rank]]&amp;"2",tblGroupTotals[Group_Points_Rank_Code],0),MATCH("Group_Number",tblGroupTotals[#Headers],0)),"")</f>
        <v/>
      </c>
      <c r="I5" s="1" t="str">
        <f>IFERROR(INDEX(tblGroupTotals[],MATCH(tblGroupTieBreakRank[[#This Row],[Group_Code]]&amp;tblGroupTieBreakRank[[#This Row],[Point_Rank]]&amp;"3",tblGroupTotals[Group_Points_Rank_Code],0),MATCH("Group_Number",tblGroupTotals[#Headers],0)),"")</f>
        <v/>
      </c>
      <c r="J5" s="1" t="str">
        <f>IFERROR(INDEX(tblGroupTotals[],MATCH(tblGroupTieBreakRank[[#This Row],[Group_Code]]&amp;tblGroupTieBreakRank[[#This Row],[Point_Rank]]&amp;"4",tblGroupTotals[Group_Points_Rank_Code],0),MATCH("Group_Number",tblGroupTotals[#Headers],0)),"")</f>
        <v/>
      </c>
      <c r="K5"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5"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5" s="13" t="str">
        <f>IF(tblGroupTieBreakRank[[#This Row],[Count]]&gt;=3,IF(AND(LEN(tblGroupTieBreakRank[[#This Row],[Team 3]])&gt;0,tblGroupTieBreakRank[[#This Row],[Team 3]]&lt;&gt;tblGroupTieBreakRank[[#This Row],[Rank Team 2]]),tblGroupTieBreakRank[[#This Row],[Team 3]],tblGroupTieBreakRank[[#This Row],[Team 4]]),"")</f>
        <v/>
      </c>
      <c r="N5" s="13" t="str">
        <f>IF(OR(tblGroupTieBreakRank[[#This Row],[Count]]=2,tblGroupTieBreakRank[[#This Row],[Count]]=3),tblGroupTieBreakRank[[#This Row],[Group_Code]]&amp;tblGroupTieBreakRank[[#This Row],[Rank Team 1]]&amp;tblGroupTieBreakRank[[#This Row],[Rank Team 2]],"")</f>
        <v/>
      </c>
      <c r="O5" s="13" t="str">
        <f>IF(tblGroupTieBreakRank[[#This Row],[Count]]=3,tblGroupTieBreakRank[[#This Row],[Group_Code]]&amp;tblGroupTieBreakRank[[#This Row],[Rank Team 1]]&amp;tblGroupTieBreakRank[[#This Row],[Rank Team 3]],"")</f>
        <v/>
      </c>
      <c r="P5" s="13" t="str">
        <f>IF(tblGroupTieBreakRank[[#This Row],[Count]]=3,tblGroupTieBreakRank[[#This Row],[Group_Code]]&amp;tblGroupTieBreakRank[[#This Row],[Rank Team 2]]&amp;tblGroupTieBreakRank[[#This Row],[Rank Team 3]],"")</f>
        <v/>
      </c>
      <c r="Q5"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5"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5"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5"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5"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5"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5" s="13">
        <f>SUM(tblGroupTieBreakRank[[#This Row],[Home Points Team 1]:[Away Points Team 1]])</f>
        <v>0</v>
      </c>
      <c r="X5" s="13">
        <f>SUM(tblGroupTieBreakRank[[#This Row],[Home Goals For Team 1]],tblGroupTieBreakRank[[#This Row],[Away Goals For Team 1]])</f>
        <v>0</v>
      </c>
      <c r="Y5" s="13">
        <f>SUM(tblGroupTieBreakRank[[#This Row],[Home Goals Against Team 1]],tblGroupTieBreakRank[[#This Row],[Away Goals Against Team 1]])</f>
        <v>0</v>
      </c>
      <c r="Z5" s="13">
        <f>tblGroupTieBreakRank[[#This Row],[Total Goals For Team 1]]-tblGroupTieBreakRank[[#This Row],[Total Goals Against Team 1]]</f>
        <v>0</v>
      </c>
      <c r="AA5"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5"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5"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5"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5"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5"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5" s="13">
        <f>SUM(tblGroupTieBreakRank[[#This Row],[Home Points Team 2]:[Away Points Team 2]])</f>
        <v>0</v>
      </c>
      <c r="AH5" s="13">
        <f>SUM(tblGroupTieBreakRank[[#This Row],[Home Goals For Team 2]],tblGroupTieBreakRank[[#This Row],[Away Goals For Team 2]])</f>
        <v>0</v>
      </c>
      <c r="AI5" s="13">
        <f>SUM(tblGroupTieBreakRank[[#This Row],[Home Goals Against Team 2]],tblGroupTieBreakRank[[#This Row],[Away Goals Against Team 2]])</f>
        <v>0</v>
      </c>
      <c r="AJ5" s="13">
        <f>tblGroupTieBreakRank[[#This Row],[Total Goals For Team 2]]-tblGroupTieBreakRank[[#This Row],[Total Goals Against Team 2]]</f>
        <v>0</v>
      </c>
      <c r="AK5"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5"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5"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5"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5"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5"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5" s="13">
        <f>SUM(tblGroupTieBreakRank[[#This Row],[Home Points Team 3]:[Away Points Team 3]])</f>
        <v>0</v>
      </c>
      <c r="AR5" s="13">
        <f>SUM(tblGroupTieBreakRank[[#This Row],[Home Goals For Team 3]],tblGroupTieBreakRank[[#This Row],[Away Goals For Team 3]])</f>
        <v>0</v>
      </c>
      <c r="AS5" s="13">
        <f>SUM(tblGroupTieBreakRank[[#This Row],[Home Goals Against Team 3]],tblGroupTieBreakRank[[#This Row],[Away Goals Against Team 3]])</f>
        <v>0</v>
      </c>
      <c r="AT5" s="13">
        <f>tblGroupTieBreakRank[[#This Row],[Total Goals For Team 3]]-tblGroupTieBreakRank[[#This Row],[Total Goals Against Team 3]]</f>
        <v>0</v>
      </c>
    </row>
    <row r="6" spans="2:46" x14ac:dyDescent="0.25">
      <c r="B6" s="1" t="s">
        <v>26</v>
      </c>
      <c r="C6" s="1">
        <v>4</v>
      </c>
      <c r="D6" s="1">
        <f>COUNTIFS(tblGroupTotals[Group_Code],tblGroupTieBreakRank[[#This Row],[Group_Code]],tblGroupTotals[Group_Points_Rank],tblGroupTieBreakRank[[#This Row],[Point_Rank]])</f>
        <v>0</v>
      </c>
      <c r="E6" s="1" t="str">
        <f>IF(AND(tblGroupTieBreakRank[[#This Row],[Count]]&gt;1,tblGroupTieBreakRank[[#This Row],[Count]]&lt;4),tblGroupTieBreakRank[[#This Row],[Point_Rank]],"")</f>
        <v/>
      </c>
      <c r="F6" s="1" t="str">
        <f>IF(AND(tblGroupTieBreakRank[[#This Row],[Count]]&gt;1,tblGroupTieBreakRank[[#This Row],[Count]]&lt;4),tblGroupTieBreakRank[[#This Row],[Group_Code]]&amp;tblGroupTieBreakRank[[#This Row],[Point_Rank]],"")</f>
        <v/>
      </c>
      <c r="G6" s="1" t="str">
        <f>IFERROR(INDEX(tblGroupTotals[],MATCH(tblGroupTieBreakRank[[#This Row],[Group_Code]]&amp;tblGroupTieBreakRank[[#This Row],[Point_Rank]]&amp;"1",tblGroupTotals[Group_Points_Rank_Code],0),MATCH("Group_Number",tblGroupTotals[#Headers],0)),"")</f>
        <v/>
      </c>
      <c r="H6" s="1" t="str">
        <f>IFERROR(INDEX(tblGroupTotals[],MATCH(tblGroupTieBreakRank[[#This Row],[Group_Code]]&amp;tblGroupTieBreakRank[[#This Row],[Point_Rank]]&amp;"2",tblGroupTotals[Group_Points_Rank_Code],0),MATCH("Group_Number",tblGroupTotals[#Headers],0)),"")</f>
        <v/>
      </c>
      <c r="I6" s="1" t="str">
        <f>IFERROR(INDEX(tblGroupTotals[],MATCH(tblGroupTieBreakRank[[#This Row],[Group_Code]]&amp;tblGroupTieBreakRank[[#This Row],[Point_Rank]]&amp;"3",tblGroupTotals[Group_Points_Rank_Code],0),MATCH("Group_Number",tblGroupTotals[#Headers],0)),"")</f>
        <v/>
      </c>
      <c r="J6" s="1" t="str">
        <f>IFERROR(INDEX(tblGroupTotals[],MATCH(tblGroupTieBreakRank[[#This Row],[Group_Code]]&amp;tblGroupTieBreakRank[[#This Row],[Point_Rank]]&amp;"4",tblGroupTotals[Group_Points_Rank_Code],0),MATCH("Group_Number",tblGroupTotals[#Headers],0)),"")</f>
        <v/>
      </c>
      <c r="K6"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6"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6" s="13" t="str">
        <f>IF(tblGroupTieBreakRank[[#This Row],[Count]]&gt;=3,IF(AND(LEN(tblGroupTieBreakRank[[#This Row],[Team 3]])&gt;0,tblGroupTieBreakRank[[#This Row],[Team 3]]&lt;&gt;tblGroupTieBreakRank[[#This Row],[Rank Team 2]]),tblGroupTieBreakRank[[#This Row],[Team 3]],tblGroupTieBreakRank[[#This Row],[Team 4]]),"")</f>
        <v/>
      </c>
      <c r="N6" s="13" t="str">
        <f>IF(OR(tblGroupTieBreakRank[[#This Row],[Count]]=2,tblGroupTieBreakRank[[#This Row],[Count]]=3),tblGroupTieBreakRank[[#This Row],[Group_Code]]&amp;tblGroupTieBreakRank[[#This Row],[Rank Team 1]]&amp;tblGroupTieBreakRank[[#This Row],[Rank Team 2]],"")</f>
        <v/>
      </c>
      <c r="O6" s="13" t="str">
        <f>IF(tblGroupTieBreakRank[[#This Row],[Count]]=3,tblGroupTieBreakRank[[#This Row],[Group_Code]]&amp;tblGroupTieBreakRank[[#This Row],[Rank Team 1]]&amp;tblGroupTieBreakRank[[#This Row],[Rank Team 3]],"")</f>
        <v/>
      </c>
      <c r="P6" s="13" t="str">
        <f>IF(tblGroupTieBreakRank[[#This Row],[Count]]=3,tblGroupTieBreakRank[[#This Row],[Group_Code]]&amp;tblGroupTieBreakRank[[#This Row],[Rank Team 2]]&amp;tblGroupTieBreakRank[[#This Row],[Rank Team 3]],"")</f>
        <v/>
      </c>
      <c r="Q6"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6"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6"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6"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6"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6"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6" s="13">
        <f>SUM(tblGroupTieBreakRank[[#This Row],[Home Points Team 1]:[Away Points Team 1]])</f>
        <v>0</v>
      </c>
      <c r="X6" s="13">
        <f>SUM(tblGroupTieBreakRank[[#This Row],[Home Goals For Team 1]],tblGroupTieBreakRank[[#This Row],[Away Goals For Team 1]])</f>
        <v>0</v>
      </c>
      <c r="Y6" s="13">
        <f>SUM(tblGroupTieBreakRank[[#This Row],[Home Goals Against Team 1]],tblGroupTieBreakRank[[#This Row],[Away Goals Against Team 1]])</f>
        <v>0</v>
      </c>
      <c r="Z6" s="13">
        <f>tblGroupTieBreakRank[[#This Row],[Total Goals For Team 1]]-tblGroupTieBreakRank[[#This Row],[Total Goals Against Team 1]]</f>
        <v>0</v>
      </c>
      <c r="AA6"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6"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6"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6"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6"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6"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6" s="13">
        <f>SUM(tblGroupTieBreakRank[[#This Row],[Home Points Team 2]:[Away Points Team 2]])</f>
        <v>0</v>
      </c>
      <c r="AH6" s="13">
        <f>SUM(tblGroupTieBreakRank[[#This Row],[Home Goals For Team 2]],tblGroupTieBreakRank[[#This Row],[Away Goals For Team 2]])</f>
        <v>0</v>
      </c>
      <c r="AI6" s="13">
        <f>SUM(tblGroupTieBreakRank[[#This Row],[Home Goals Against Team 2]],tblGroupTieBreakRank[[#This Row],[Away Goals Against Team 2]])</f>
        <v>0</v>
      </c>
      <c r="AJ6" s="13">
        <f>tblGroupTieBreakRank[[#This Row],[Total Goals For Team 2]]-tblGroupTieBreakRank[[#This Row],[Total Goals Against Team 2]]</f>
        <v>0</v>
      </c>
      <c r="AK6"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6"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6"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6"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6"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6"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6" s="13">
        <f>SUM(tblGroupTieBreakRank[[#This Row],[Home Points Team 3]:[Away Points Team 3]])</f>
        <v>0</v>
      </c>
      <c r="AR6" s="13">
        <f>SUM(tblGroupTieBreakRank[[#This Row],[Home Goals For Team 3]],tblGroupTieBreakRank[[#This Row],[Away Goals For Team 3]])</f>
        <v>0</v>
      </c>
      <c r="AS6" s="13">
        <f>SUM(tblGroupTieBreakRank[[#This Row],[Home Goals Against Team 3]],tblGroupTieBreakRank[[#This Row],[Away Goals Against Team 3]])</f>
        <v>0</v>
      </c>
      <c r="AT6" s="13">
        <f>tblGroupTieBreakRank[[#This Row],[Total Goals For Team 3]]-tblGroupTieBreakRank[[#This Row],[Total Goals Against Team 3]]</f>
        <v>0</v>
      </c>
    </row>
    <row r="7" spans="2:46" x14ac:dyDescent="0.25">
      <c r="B7" s="1" t="s">
        <v>30</v>
      </c>
      <c r="C7" s="1">
        <v>1</v>
      </c>
      <c r="D7" s="13">
        <f>COUNTIFS(tblGroupTotals[Group_Code],tblGroupTieBreakRank[[#This Row],[Group_Code]],tblGroupTotals[Group_Points_Rank],tblGroupTieBreakRank[[#This Row],[Point_Rank]])</f>
        <v>4</v>
      </c>
      <c r="E7" s="13" t="str">
        <f>IF(AND(tblGroupTieBreakRank[[#This Row],[Count]]&gt;1,tblGroupTieBreakRank[[#This Row],[Count]]&lt;4),tblGroupTieBreakRank[[#This Row],[Point_Rank]],"")</f>
        <v/>
      </c>
      <c r="F7" s="13" t="str">
        <f>IF(AND(tblGroupTieBreakRank[[#This Row],[Count]]&gt;1,tblGroupTieBreakRank[[#This Row],[Count]]&lt;4),tblGroupTieBreakRank[[#This Row],[Group_Code]]&amp;tblGroupTieBreakRank[[#This Row],[Point_Rank]],"")</f>
        <v/>
      </c>
      <c r="G7" s="13" t="str">
        <f>IFERROR(INDEX(tblGroupTotals[],MATCH(tblGroupTieBreakRank[[#This Row],[Group_Code]]&amp;tblGroupTieBreakRank[[#This Row],[Point_Rank]]&amp;"1",tblGroupTotals[Group_Points_Rank_Code],0),MATCH("Group_Number",tblGroupTotals[#Headers],0)),"")</f>
        <v>1</v>
      </c>
      <c r="H7" s="13" t="str">
        <f>IFERROR(INDEX(tblGroupTotals[],MATCH(tblGroupTieBreakRank[[#This Row],[Group_Code]]&amp;tblGroupTieBreakRank[[#This Row],[Point_Rank]]&amp;"2",tblGroupTotals[Group_Points_Rank_Code],0),MATCH("Group_Number",tblGroupTotals[#Headers],0)),"")</f>
        <v>2</v>
      </c>
      <c r="I7" s="13" t="str">
        <f>IFERROR(INDEX(tblGroupTotals[],MATCH(tblGroupTieBreakRank[[#This Row],[Group_Code]]&amp;tblGroupTieBreakRank[[#This Row],[Point_Rank]]&amp;"3",tblGroupTotals[Group_Points_Rank_Code],0),MATCH("Group_Number",tblGroupTotals[#Headers],0)),"")</f>
        <v>3</v>
      </c>
      <c r="J7" s="13" t="str">
        <f>IFERROR(INDEX(tblGroupTotals[],MATCH(tblGroupTieBreakRank[[#This Row],[Group_Code]]&amp;tblGroupTieBreakRank[[#This Row],[Point_Rank]]&amp;"4",tblGroupTotals[Group_Points_Rank_Code],0),MATCH("Group_Number",tblGroupTotals[#Headers],0)),"")</f>
        <v>4</v>
      </c>
      <c r="K7"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7"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7" s="13" t="str">
        <f>IF(tblGroupTieBreakRank[[#This Row],[Count]]&gt;=3,IF(AND(LEN(tblGroupTieBreakRank[[#This Row],[Team 3]])&gt;0,tblGroupTieBreakRank[[#This Row],[Team 3]]&lt;&gt;tblGroupTieBreakRank[[#This Row],[Rank Team 2]]),tblGroupTieBreakRank[[#This Row],[Team 3]],tblGroupTieBreakRank[[#This Row],[Team 4]]),"")</f>
        <v>3</v>
      </c>
      <c r="N7" s="13" t="str">
        <f>IF(OR(tblGroupTieBreakRank[[#This Row],[Count]]=2,tblGroupTieBreakRank[[#This Row],[Count]]=3),tblGroupTieBreakRank[[#This Row],[Group_Code]]&amp;tblGroupTieBreakRank[[#This Row],[Rank Team 1]]&amp;tblGroupTieBreakRank[[#This Row],[Rank Team 2]],"")</f>
        <v/>
      </c>
      <c r="O7" s="13" t="str">
        <f>IF(tblGroupTieBreakRank[[#This Row],[Count]]=3,tblGroupTieBreakRank[[#This Row],[Group_Code]]&amp;tblGroupTieBreakRank[[#This Row],[Rank Team 1]]&amp;tblGroupTieBreakRank[[#This Row],[Rank Team 3]],"")</f>
        <v/>
      </c>
      <c r="P7" s="13" t="str">
        <f>IF(tblGroupTieBreakRank[[#This Row],[Count]]=3,tblGroupTieBreakRank[[#This Row],[Group_Code]]&amp;tblGroupTieBreakRank[[#This Row],[Rank Team 2]]&amp;tblGroupTieBreakRank[[#This Row],[Rank Team 3]],"")</f>
        <v/>
      </c>
      <c r="Q7"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7"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7"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7"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7"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7"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7" s="13">
        <f>SUM(tblGroupTieBreakRank[[#This Row],[Home Points Team 1]:[Away Points Team 1]])</f>
        <v>0</v>
      </c>
      <c r="X7" s="13">
        <f>SUM(tblGroupTieBreakRank[[#This Row],[Home Goals For Team 1]],tblGroupTieBreakRank[[#This Row],[Away Goals For Team 1]])</f>
        <v>0</v>
      </c>
      <c r="Y7" s="13">
        <f>SUM(tblGroupTieBreakRank[[#This Row],[Home Goals Against Team 1]],tblGroupTieBreakRank[[#This Row],[Away Goals Against Team 1]])</f>
        <v>0</v>
      </c>
      <c r="Z7" s="13">
        <f>tblGroupTieBreakRank[[#This Row],[Total Goals For Team 1]]-tblGroupTieBreakRank[[#This Row],[Total Goals Against Team 1]]</f>
        <v>0</v>
      </c>
      <c r="AA7"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7"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7"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7"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7"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7"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7" s="13">
        <f>SUM(tblGroupTieBreakRank[[#This Row],[Home Points Team 2]:[Away Points Team 2]])</f>
        <v>0</v>
      </c>
      <c r="AH7" s="13">
        <f>SUM(tblGroupTieBreakRank[[#This Row],[Home Goals For Team 2]],tblGroupTieBreakRank[[#This Row],[Away Goals For Team 2]])</f>
        <v>0</v>
      </c>
      <c r="AI7" s="13">
        <f>SUM(tblGroupTieBreakRank[[#This Row],[Home Goals Against Team 2]],tblGroupTieBreakRank[[#This Row],[Away Goals Against Team 2]])</f>
        <v>0</v>
      </c>
      <c r="AJ7" s="13">
        <f>tblGroupTieBreakRank[[#This Row],[Total Goals For Team 2]]-tblGroupTieBreakRank[[#This Row],[Total Goals Against Team 2]]</f>
        <v>0</v>
      </c>
      <c r="AK7"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7"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7"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7"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7"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7"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7" s="13">
        <f>SUM(tblGroupTieBreakRank[[#This Row],[Home Points Team 3]:[Away Points Team 3]])</f>
        <v>0</v>
      </c>
      <c r="AR7" s="13">
        <f>SUM(tblGroupTieBreakRank[[#This Row],[Home Goals For Team 3]],tblGroupTieBreakRank[[#This Row],[Away Goals For Team 3]])</f>
        <v>0</v>
      </c>
      <c r="AS7" s="13">
        <f>SUM(tblGroupTieBreakRank[[#This Row],[Home Goals Against Team 3]],tblGroupTieBreakRank[[#This Row],[Away Goals Against Team 3]])</f>
        <v>0</v>
      </c>
      <c r="AT7" s="13">
        <f>tblGroupTieBreakRank[[#This Row],[Total Goals For Team 3]]-tblGroupTieBreakRank[[#This Row],[Total Goals Against Team 3]]</f>
        <v>0</v>
      </c>
    </row>
    <row r="8" spans="2:46" x14ac:dyDescent="0.25">
      <c r="B8" s="1" t="s">
        <v>30</v>
      </c>
      <c r="C8" s="1">
        <v>2</v>
      </c>
      <c r="D8" s="13">
        <f>COUNTIFS(tblGroupTotals[Group_Code],tblGroupTieBreakRank[[#This Row],[Group_Code]],tblGroupTotals[Group_Points_Rank],tblGroupTieBreakRank[[#This Row],[Point_Rank]])</f>
        <v>0</v>
      </c>
      <c r="E8" s="13" t="str">
        <f>IF(AND(tblGroupTieBreakRank[[#This Row],[Count]]&gt;1,tblGroupTieBreakRank[[#This Row],[Count]]&lt;4),tblGroupTieBreakRank[[#This Row],[Point_Rank]],"")</f>
        <v/>
      </c>
      <c r="F8" s="13" t="str">
        <f>IF(AND(tblGroupTieBreakRank[[#This Row],[Count]]&gt;1,tblGroupTieBreakRank[[#This Row],[Count]]&lt;4),tblGroupTieBreakRank[[#This Row],[Group_Code]]&amp;tblGroupTieBreakRank[[#This Row],[Point_Rank]],"")</f>
        <v/>
      </c>
      <c r="G8" s="13" t="str">
        <f>IFERROR(INDEX(tblGroupTotals[],MATCH(tblGroupTieBreakRank[[#This Row],[Group_Code]]&amp;tblGroupTieBreakRank[[#This Row],[Point_Rank]]&amp;"1",tblGroupTotals[Group_Points_Rank_Code],0),MATCH("Group_Number",tblGroupTotals[#Headers],0)),"")</f>
        <v/>
      </c>
      <c r="H8" s="13" t="str">
        <f>IFERROR(INDEX(tblGroupTotals[],MATCH(tblGroupTieBreakRank[[#This Row],[Group_Code]]&amp;tblGroupTieBreakRank[[#This Row],[Point_Rank]]&amp;"2",tblGroupTotals[Group_Points_Rank_Code],0),MATCH("Group_Number",tblGroupTotals[#Headers],0)),"")</f>
        <v/>
      </c>
      <c r="I8" s="13" t="str">
        <f>IFERROR(INDEX(tblGroupTotals[],MATCH(tblGroupTieBreakRank[[#This Row],[Group_Code]]&amp;tblGroupTieBreakRank[[#This Row],[Point_Rank]]&amp;"3",tblGroupTotals[Group_Points_Rank_Code],0),MATCH("Group_Number",tblGroupTotals[#Headers],0)),"")</f>
        <v/>
      </c>
      <c r="J8" s="13" t="str">
        <f>IFERROR(INDEX(tblGroupTotals[],MATCH(tblGroupTieBreakRank[[#This Row],[Group_Code]]&amp;tblGroupTieBreakRank[[#This Row],[Point_Rank]]&amp;"4",tblGroupTotals[Group_Points_Rank_Code],0),MATCH("Group_Number",tblGroupTotals[#Headers],0)),"")</f>
        <v/>
      </c>
      <c r="K8"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8"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8" s="13" t="str">
        <f>IF(tblGroupTieBreakRank[[#This Row],[Count]]&gt;=3,IF(AND(LEN(tblGroupTieBreakRank[[#This Row],[Team 3]])&gt;0,tblGroupTieBreakRank[[#This Row],[Team 3]]&lt;&gt;tblGroupTieBreakRank[[#This Row],[Rank Team 2]]),tblGroupTieBreakRank[[#This Row],[Team 3]],tblGroupTieBreakRank[[#This Row],[Team 4]]),"")</f>
        <v/>
      </c>
      <c r="N8" s="13" t="str">
        <f>IF(OR(tblGroupTieBreakRank[[#This Row],[Count]]=2,tblGroupTieBreakRank[[#This Row],[Count]]=3),tblGroupTieBreakRank[[#This Row],[Group_Code]]&amp;tblGroupTieBreakRank[[#This Row],[Rank Team 1]]&amp;tblGroupTieBreakRank[[#This Row],[Rank Team 2]],"")</f>
        <v/>
      </c>
      <c r="O8" s="13" t="str">
        <f>IF(tblGroupTieBreakRank[[#This Row],[Count]]=3,tblGroupTieBreakRank[[#This Row],[Group_Code]]&amp;tblGroupTieBreakRank[[#This Row],[Rank Team 1]]&amp;tblGroupTieBreakRank[[#This Row],[Rank Team 3]],"")</f>
        <v/>
      </c>
      <c r="P8" s="13" t="str">
        <f>IF(tblGroupTieBreakRank[[#This Row],[Count]]=3,tblGroupTieBreakRank[[#This Row],[Group_Code]]&amp;tblGroupTieBreakRank[[#This Row],[Rank Team 2]]&amp;tblGroupTieBreakRank[[#This Row],[Rank Team 3]],"")</f>
        <v/>
      </c>
      <c r="Q8"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8"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8"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8"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8"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8"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8" s="13">
        <f>SUM(tblGroupTieBreakRank[[#This Row],[Home Points Team 1]:[Away Points Team 1]])</f>
        <v>0</v>
      </c>
      <c r="X8" s="13">
        <f>SUM(tblGroupTieBreakRank[[#This Row],[Home Goals For Team 1]],tblGroupTieBreakRank[[#This Row],[Away Goals For Team 1]])</f>
        <v>0</v>
      </c>
      <c r="Y8" s="13">
        <f>SUM(tblGroupTieBreakRank[[#This Row],[Home Goals Against Team 1]],tblGroupTieBreakRank[[#This Row],[Away Goals Against Team 1]])</f>
        <v>0</v>
      </c>
      <c r="Z8" s="13">
        <f>tblGroupTieBreakRank[[#This Row],[Total Goals For Team 1]]-tblGroupTieBreakRank[[#This Row],[Total Goals Against Team 1]]</f>
        <v>0</v>
      </c>
      <c r="AA8"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8"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8"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8"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8"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8"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8" s="13">
        <f>SUM(tblGroupTieBreakRank[[#This Row],[Home Points Team 2]:[Away Points Team 2]])</f>
        <v>0</v>
      </c>
      <c r="AH8" s="13">
        <f>SUM(tblGroupTieBreakRank[[#This Row],[Home Goals For Team 2]],tblGroupTieBreakRank[[#This Row],[Away Goals For Team 2]])</f>
        <v>0</v>
      </c>
      <c r="AI8" s="13">
        <f>SUM(tblGroupTieBreakRank[[#This Row],[Home Goals Against Team 2]],tblGroupTieBreakRank[[#This Row],[Away Goals Against Team 2]])</f>
        <v>0</v>
      </c>
      <c r="AJ8" s="13">
        <f>tblGroupTieBreakRank[[#This Row],[Total Goals For Team 2]]-tblGroupTieBreakRank[[#This Row],[Total Goals Against Team 2]]</f>
        <v>0</v>
      </c>
      <c r="AK8"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8"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8"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8"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8"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8"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8" s="13">
        <f>SUM(tblGroupTieBreakRank[[#This Row],[Home Points Team 3]:[Away Points Team 3]])</f>
        <v>0</v>
      </c>
      <c r="AR8" s="13">
        <f>SUM(tblGroupTieBreakRank[[#This Row],[Home Goals For Team 3]],tblGroupTieBreakRank[[#This Row],[Away Goals For Team 3]])</f>
        <v>0</v>
      </c>
      <c r="AS8" s="13">
        <f>SUM(tblGroupTieBreakRank[[#This Row],[Home Goals Against Team 3]],tblGroupTieBreakRank[[#This Row],[Away Goals Against Team 3]])</f>
        <v>0</v>
      </c>
      <c r="AT8" s="13">
        <f>tblGroupTieBreakRank[[#This Row],[Total Goals For Team 3]]-tblGroupTieBreakRank[[#This Row],[Total Goals Against Team 3]]</f>
        <v>0</v>
      </c>
    </row>
    <row r="9" spans="2:46" x14ac:dyDescent="0.25">
      <c r="B9" s="1" t="s">
        <v>30</v>
      </c>
      <c r="C9" s="1">
        <v>3</v>
      </c>
      <c r="D9" s="13">
        <f>COUNTIFS(tblGroupTotals[Group_Code],tblGroupTieBreakRank[[#This Row],[Group_Code]],tblGroupTotals[Group_Points_Rank],tblGroupTieBreakRank[[#This Row],[Point_Rank]])</f>
        <v>0</v>
      </c>
      <c r="E9" s="13" t="str">
        <f>IF(AND(tblGroupTieBreakRank[[#This Row],[Count]]&gt;1,tblGroupTieBreakRank[[#This Row],[Count]]&lt;4),tblGroupTieBreakRank[[#This Row],[Point_Rank]],"")</f>
        <v/>
      </c>
      <c r="F9" s="13" t="str">
        <f>IF(AND(tblGroupTieBreakRank[[#This Row],[Count]]&gt;1,tblGroupTieBreakRank[[#This Row],[Count]]&lt;4),tblGroupTieBreakRank[[#This Row],[Group_Code]]&amp;tblGroupTieBreakRank[[#This Row],[Point_Rank]],"")</f>
        <v/>
      </c>
      <c r="G9" s="13" t="str">
        <f>IFERROR(INDEX(tblGroupTotals[],MATCH(tblGroupTieBreakRank[[#This Row],[Group_Code]]&amp;tblGroupTieBreakRank[[#This Row],[Point_Rank]]&amp;"1",tblGroupTotals[Group_Points_Rank_Code],0),MATCH("Group_Number",tblGroupTotals[#Headers],0)),"")</f>
        <v/>
      </c>
      <c r="H9" s="13" t="str">
        <f>IFERROR(INDEX(tblGroupTotals[],MATCH(tblGroupTieBreakRank[[#This Row],[Group_Code]]&amp;tblGroupTieBreakRank[[#This Row],[Point_Rank]]&amp;"2",tblGroupTotals[Group_Points_Rank_Code],0),MATCH("Group_Number",tblGroupTotals[#Headers],0)),"")</f>
        <v/>
      </c>
      <c r="I9" s="13" t="str">
        <f>IFERROR(INDEX(tblGroupTotals[],MATCH(tblGroupTieBreakRank[[#This Row],[Group_Code]]&amp;tblGroupTieBreakRank[[#This Row],[Point_Rank]]&amp;"3",tblGroupTotals[Group_Points_Rank_Code],0),MATCH("Group_Number",tblGroupTotals[#Headers],0)),"")</f>
        <v/>
      </c>
      <c r="J9" s="13" t="str">
        <f>IFERROR(INDEX(tblGroupTotals[],MATCH(tblGroupTieBreakRank[[#This Row],[Group_Code]]&amp;tblGroupTieBreakRank[[#This Row],[Point_Rank]]&amp;"4",tblGroupTotals[Group_Points_Rank_Code],0),MATCH("Group_Number",tblGroupTotals[#Headers],0)),"")</f>
        <v/>
      </c>
      <c r="K9"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9"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9" s="13" t="str">
        <f>IF(tblGroupTieBreakRank[[#This Row],[Count]]&gt;=3,IF(AND(LEN(tblGroupTieBreakRank[[#This Row],[Team 3]])&gt;0,tblGroupTieBreakRank[[#This Row],[Team 3]]&lt;&gt;tblGroupTieBreakRank[[#This Row],[Rank Team 2]]),tblGroupTieBreakRank[[#This Row],[Team 3]],tblGroupTieBreakRank[[#This Row],[Team 4]]),"")</f>
        <v/>
      </c>
      <c r="N9" s="13" t="str">
        <f>IF(OR(tblGroupTieBreakRank[[#This Row],[Count]]=2,tblGroupTieBreakRank[[#This Row],[Count]]=3),tblGroupTieBreakRank[[#This Row],[Group_Code]]&amp;tblGroupTieBreakRank[[#This Row],[Rank Team 1]]&amp;tblGroupTieBreakRank[[#This Row],[Rank Team 2]],"")</f>
        <v/>
      </c>
      <c r="O9" s="13" t="str">
        <f>IF(tblGroupTieBreakRank[[#This Row],[Count]]=3,tblGroupTieBreakRank[[#This Row],[Group_Code]]&amp;tblGroupTieBreakRank[[#This Row],[Rank Team 1]]&amp;tblGroupTieBreakRank[[#This Row],[Rank Team 3]],"")</f>
        <v/>
      </c>
      <c r="P9" s="13" t="str">
        <f>IF(tblGroupTieBreakRank[[#This Row],[Count]]=3,tblGroupTieBreakRank[[#This Row],[Group_Code]]&amp;tblGroupTieBreakRank[[#This Row],[Rank Team 2]]&amp;tblGroupTieBreakRank[[#This Row],[Rank Team 3]],"")</f>
        <v/>
      </c>
      <c r="Q9"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9"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9"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9"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9"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9"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9" s="13">
        <f>SUM(tblGroupTieBreakRank[[#This Row],[Home Points Team 1]:[Away Points Team 1]])</f>
        <v>0</v>
      </c>
      <c r="X9" s="13">
        <f>SUM(tblGroupTieBreakRank[[#This Row],[Home Goals For Team 1]],tblGroupTieBreakRank[[#This Row],[Away Goals For Team 1]])</f>
        <v>0</v>
      </c>
      <c r="Y9" s="13">
        <f>SUM(tblGroupTieBreakRank[[#This Row],[Home Goals Against Team 1]],tblGroupTieBreakRank[[#This Row],[Away Goals Against Team 1]])</f>
        <v>0</v>
      </c>
      <c r="Z9" s="13">
        <f>tblGroupTieBreakRank[[#This Row],[Total Goals For Team 1]]-tblGroupTieBreakRank[[#This Row],[Total Goals Against Team 1]]</f>
        <v>0</v>
      </c>
      <c r="AA9"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9"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9"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9"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9"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9"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9" s="13">
        <f>SUM(tblGroupTieBreakRank[[#This Row],[Home Points Team 2]:[Away Points Team 2]])</f>
        <v>0</v>
      </c>
      <c r="AH9" s="13">
        <f>SUM(tblGroupTieBreakRank[[#This Row],[Home Goals For Team 2]],tblGroupTieBreakRank[[#This Row],[Away Goals For Team 2]])</f>
        <v>0</v>
      </c>
      <c r="AI9" s="13">
        <f>SUM(tblGroupTieBreakRank[[#This Row],[Home Goals Against Team 2]],tblGroupTieBreakRank[[#This Row],[Away Goals Against Team 2]])</f>
        <v>0</v>
      </c>
      <c r="AJ9" s="13">
        <f>tblGroupTieBreakRank[[#This Row],[Total Goals For Team 2]]-tblGroupTieBreakRank[[#This Row],[Total Goals Against Team 2]]</f>
        <v>0</v>
      </c>
      <c r="AK9"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9"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9"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9"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9"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9"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9" s="13">
        <f>SUM(tblGroupTieBreakRank[[#This Row],[Home Points Team 3]:[Away Points Team 3]])</f>
        <v>0</v>
      </c>
      <c r="AR9" s="13">
        <f>SUM(tblGroupTieBreakRank[[#This Row],[Home Goals For Team 3]],tblGroupTieBreakRank[[#This Row],[Away Goals For Team 3]])</f>
        <v>0</v>
      </c>
      <c r="AS9" s="13">
        <f>SUM(tblGroupTieBreakRank[[#This Row],[Home Goals Against Team 3]],tblGroupTieBreakRank[[#This Row],[Away Goals Against Team 3]])</f>
        <v>0</v>
      </c>
      <c r="AT9" s="13">
        <f>tblGroupTieBreakRank[[#This Row],[Total Goals For Team 3]]-tblGroupTieBreakRank[[#This Row],[Total Goals Against Team 3]]</f>
        <v>0</v>
      </c>
    </row>
    <row r="10" spans="2:46" x14ac:dyDescent="0.25">
      <c r="B10" s="1" t="s">
        <v>30</v>
      </c>
      <c r="C10" s="1">
        <v>4</v>
      </c>
      <c r="D10" s="13">
        <f>COUNTIFS(tblGroupTotals[Group_Code],tblGroupTieBreakRank[[#This Row],[Group_Code]],tblGroupTotals[Group_Points_Rank],tblGroupTieBreakRank[[#This Row],[Point_Rank]])</f>
        <v>0</v>
      </c>
      <c r="E10" s="13" t="str">
        <f>IF(AND(tblGroupTieBreakRank[[#This Row],[Count]]&gt;1,tblGroupTieBreakRank[[#This Row],[Count]]&lt;4),tblGroupTieBreakRank[[#This Row],[Point_Rank]],"")</f>
        <v/>
      </c>
      <c r="F10" s="13" t="str">
        <f>IF(AND(tblGroupTieBreakRank[[#This Row],[Count]]&gt;1,tblGroupTieBreakRank[[#This Row],[Count]]&lt;4),tblGroupTieBreakRank[[#This Row],[Group_Code]]&amp;tblGroupTieBreakRank[[#This Row],[Point_Rank]],"")</f>
        <v/>
      </c>
      <c r="G10" s="13" t="str">
        <f>IFERROR(INDEX(tblGroupTotals[],MATCH(tblGroupTieBreakRank[[#This Row],[Group_Code]]&amp;tblGroupTieBreakRank[[#This Row],[Point_Rank]]&amp;"1",tblGroupTotals[Group_Points_Rank_Code],0),MATCH("Group_Number",tblGroupTotals[#Headers],0)),"")</f>
        <v/>
      </c>
      <c r="H10" s="13" t="str">
        <f>IFERROR(INDEX(tblGroupTotals[],MATCH(tblGroupTieBreakRank[[#This Row],[Group_Code]]&amp;tblGroupTieBreakRank[[#This Row],[Point_Rank]]&amp;"2",tblGroupTotals[Group_Points_Rank_Code],0),MATCH("Group_Number",tblGroupTotals[#Headers],0)),"")</f>
        <v/>
      </c>
      <c r="I10" s="13" t="str">
        <f>IFERROR(INDEX(tblGroupTotals[],MATCH(tblGroupTieBreakRank[[#This Row],[Group_Code]]&amp;tblGroupTieBreakRank[[#This Row],[Point_Rank]]&amp;"3",tblGroupTotals[Group_Points_Rank_Code],0),MATCH("Group_Number",tblGroupTotals[#Headers],0)),"")</f>
        <v/>
      </c>
      <c r="J10" s="13" t="str">
        <f>IFERROR(INDEX(tblGroupTotals[],MATCH(tblGroupTieBreakRank[[#This Row],[Group_Code]]&amp;tblGroupTieBreakRank[[#This Row],[Point_Rank]]&amp;"4",tblGroupTotals[Group_Points_Rank_Code],0),MATCH("Group_Number",tblGroupTotals[#Headers],0)),"")</f>
        <v/>
      </c>
      <c r="K10"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0"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0" s="13" t="str">
        <f>IF(tblGroupTieBreakRank[[#This Row],[Count]]&gt;=3,IF(AND(LEN(tblGroupTieBreakRank[[#This Row],[Team 3]])&gt;0,tblGroupTieBreakRank[[#This Row],[Team 3]]&lt;&gt;tblGroupTieBreakRank[[#This Row],[Rank Team 2]]),tblGroupTieBreakRank[[#This Row],[Team 3]],tblGroupTieBreakRank[[#This Row],[Team 4]]),"")</f>
        <v/>
      </c>
      <c r="N10" s="13" t="str">
        <f>IF(OR(tblGroupTieBreakRank[[#This Row],[Count]]=2,tblGroupTieBreakRank[[#This Row],[Count]]=3),tblGroupTieBreakRank[[#This Row],[Group_Code]]&amp;tblGroupTieBreakRank[[#This Row],[Rank Team 1]]&amp;tblGroupTieBreakRank[[#This Row],[Rank Team 2]],"")</f>
        <v/>
      </c>
      <c r="O10" s="13" t="str">
        <f>IF(tblGroupTieBreakRank[[#This Row],[Count]]=3,tblGroupTieBreakRank[[#This Row],[Group_Code]]&amp;tblGroupTieBreakRank[[#This Row],[Rank Team 1]]&amp;tblGroupTieBreakRank[[#This Row],[Rank Team 3]],"")</f>
        <v/>
      </c>
      <c r="P10" s="13" t="str">
        <f>IF(tblGroupTieBreakRank[[#This Row],[Count]]=3,tblGroupTieBreakRank[[#This Row],[Group_Code]]&amp;tblGroupTieBreakRank[[#This Row],[Rank Team 2]]&amp;tblGroupTieBreakRank[[#This Row],[Rank Team 3]],"")</f>
        <v/>
      </c>
      <c r="Q10"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0"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0"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0"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0"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0"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0" s="13">
        <f>SUM(tblGroupTieBreakRank[[#This Row],[Home Points Team 1]:[Away Points Team 1]])</f>
        <v>0</v>
      </c>
      <c r="X10" s="13">
        <f>SUM(tblGroupTieBreakRank[[#This Row],[Home Goals For Team 1]],tblGroupTieBreakRank[[#This Row],[Away Goals For Team 1]])</f>
        <v>0</v>
      </c>
      <c r="Y10" s="13">
        <f>SUM(tblGroupTieBreakRank[[#This Row],[Home Goals Against Team 1]],tblGroupTieBreakRank[[#This Row],[Away Goals Against Team 1]])</f>
        <v>0</v>
      </c>
      <c r="Z10" s="13">
        <f>tblGroupTieBreakRank[[#This Row],[Total Goals For Team 1]]-tblGroupTieBreakRank[[#This Row],[Total Goals Against Team 1]]</f>
        <v>0</v>
      </c>
      <c r="AA10"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0"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0"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0"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0"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0"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0" s="13">
        <f>SUM(tblGroupTieBreakRank[[#This Row],[Home Points Team 2]:[Away Points Team 2]])</f>
        <v>0</v>
      </c>
      <c r="AH10" s="13">
        <f>SUM(tblGroupTieBreakRank[[#This Row],[Home Goals For Team 2]],tblGroupTieBreakRank[[#This Row],[Away Goals For Team 2]])</f>
        <v>0</v>
      </c>
      <c r="AI10" s="13">
        <f>SUM(tblGroupTieBreakRank[[#This Row],[Home Goals Against Team 2]],tblGroupTieBreakRank[[#This Row],[Away Goals Against Team 2]])</f>
        <v>0</v>
      </c>
      <c r="AJ10" s="13">
        <f>tblGroupTieBreakRank[[#This Row],[Total Goals For Team 2]]-tblGroupTieBreakRank[[#This Row],[Total Goals Against Team 2]]</f>
        <v>0</v>
      </c>
      <c r="AK10"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0"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0"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0"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0"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0"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0" s="13">
        <f>SUM(tblGroupTieBreakRank[[#This Row],[Home Points Team 3]:[Away Points Team 3]])</f>
        <v>0</v>
      </c>
      <c r="AR10" s="13">
        <f>SUM(tblGroupTieBreakRank[[#This Row],[Home Goals For Team 3]],tblGroupTieBreakRank[[#This Row],[Away Goals For Team 3]])</f>
        <v>0</v>
      </c>
      <c r="AS10" s="13">
        <f>SUM(tblGroupTieBreakRank[[#This Row],[Home Goals Against Team 3]],tblGroupTieBreakRank[[#This Row],[Away Goals Against Team 3]])</f>
        <v>0</v>
      </c>
      <c r="AT10" s="13">
        <f>tblGroupTieBreakRank[[#This Row],[Total Goals For Team 3]]-tblGroupTieBreakRank[[#This Row],[Total Goals Against Team 3]]</f>
        <v>0</v>
      </c>
    </row>
    <row r="11" spans="2:46" x14ac:dyDescent="0.25">
      <c r="B11" s="1" t="s">
        <v>33</v>
      </c>
      <c r="C11" s="1">
        <v>1</v>
      </c>
      <c r="D11" s="13">
        <f>COUNTIFS(tblGroupTotals[Group_Code],tblGroupTieBreakRank[[#This Row],[Group_Code]],tblGroupTotals[Group_Points_Rank],tblGroupTieBreakRank[[#This Row],[Point_Rank]])</f>
        <v>4</v>
      </c>
      <c r="E11" s="13" t="str">
        <f>IF(AND(tblGroupTieBreakRank[[#This Row],[Count]]&gt;1,tblGroupTieBreakRank[[#This Row],[Count]]&lt;4),tblGroupTieBreakRank[[#This Row],[Point_Rank]],"")</f>
        <v/>
      </c>
      <c r="F11" s="13" t="str">
        <f>IF(AND(tblGroupTieBreakRank[[#This Row],[Count]]&gt;1,tblGroupTieBreakRank[[#This Row],[Count]]&lt;4),tblGroupTieBreakRank[[#This Row],[Group_Code]]&amp;tblGroupTieBreakRank[[#This Row],[Point_Rank]],"")</f>
        <v/>
      </c>
      <c r="G11" s="13" t="str">
        <f>IFERROR(INDEX(tblGroupTotals[],MATCH(tblGroupTieBreakRank[[#This Row],[Group_Code]]&amp;tblGroupTieBreakRank[[#This Row],[Point_Rank]]&amp;"1",tblGroupTotals[Group_Points_Rank_Code],0),MATCH("Group_Number",tblGroupTotals[#Headers],0)),"")</f>
        <v>1</v>
      </c>
      <c r="H11" s="13" t="str">
        <f>IFERROR(INDEX(tblGroupTotals[],MATCH(tblGroupTieBreakRank[[#This Row],[Group_Code]]&amp;tblGroupTieBreakRank[[#This Row],[Point_Rank]]&amp;"2",tblGroupTotals[Group_Points_Rank_Code],0),MATCH("Group_Number",tblGroupTotals[#Headers],0)),"")</f>
        <v>2</v>
      </c>
      <c r="I11" s="13" t="str">
        <f>IFERROR(INDEX(tblGroupTotals[],MATCH(tblGroupTieBreakRank[[#This Row],[Group_Code]]&amp;tblGroupTieBreakRank[[#This Row],[Point_Rank]]&amp;"3",tblGroupTotals[Group_Points_Rank_Code],0),MATCH("Group_Number",tblGroupTotals[#Headers],0)),"")</f>
        <v>3</v>
      </c>
      <c r="J11" s="13" t="str">
        <f>IFERROR(INDEX(tblGroupTotals[],MATCH(tblGroupTieBreakRank[[#This Row],[Group_Code]]&amp;tblGroupTieBreakRank[[#This Row],[Point_Rank]]&amp;"4",tblGroupTotals[Group_Points_Rank_Code],0),MATCH("Group_Number",tblGroupTotals[#Headers],0)),"")</f>
        <v>4</v>
      </c>
      <c r="K11"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11"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11" s="13" t="str">
        <f>IF(tblGroupTieBreakRank[[#This Row],[Count]]&gt;=3,IF(AND(LEN(tblGroupTieBreakRank[[#This Row],[Team 3]])&gt;0,tblGroupTieBreakRank[[#This Row],[Team 3]]&lt;&gt;tblGroupTieBreakRank[[#This Row],[Rank Team 2]]),tblGroupTieBreakRank[[#This Row],[Team 3]],tblGroupTieBreakRank[[#This Row],[Team 4]]),"")</f>
        <v>3</v>
      </c>
      <c r="N11" s="13" t="str">
        <f>IF(OR(tblGroupTieBreakRank[[#This Row],[Count]]=2,tblGroupTieBreakRank[[#This Row],[Count]]=3),tblGroupTieBreakRank[[#This Row],[Group_Code]]&amp;tblGroupTieBreakRank[[#This Row],[Rank Team 1]]&amp;tblGroupTieBreakRank[[#This Row],[Rank Team 2]],"")</f>
        <v/>
      </c>
      <c r="O11" s="13" t="str">
        <f>IF(tblGroupTieBreakRank[[#This Row],[Count]]=3,tblGroupTieBreakRank[[#This Row],[Group_Code]]&amp;tblGroupTieBreakRank[[#This Row],[Rank Team 1]]&amp;tblGroupTieBreakRank[[#This Row],[Rank Team 3]],"")</f>
        <v/>
      </c>
      <c r="P11" s="13" t="str">
        <f>IF(tblGroupTieBreakRank[[#This Row],[Count]]=3,tblGroupTieBreakRank[[#This Row],[Group_Code]]&amp;tblGroupTieBreakRank[[#This Row],[Rank Team 2]]&amp;tblGroupTieBreakRank[[#This Row],[Rank Team 3]],"")</f>
        <v/>
      </c>
      <c r="Q11"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1"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1"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1"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1"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1"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1" s="13">
        <f>SUM(tblGroupTieBreakRank[[#This Row],[Home Points Team 1]:[Away Points Team 1]])</f>
        <v>0</v>
      </c>
      <c r="X11" s="13">
        <f>SUM(tblGroupTieBreakRank[[#This Row],[Home Goals For Team 1]],tblGroupTieBreakRank[[#This Row],[Away Goals For Team 1]])</f>
        <v>0</v>
      </c>
      <c r="Y11" s="13">
        <f>SUM(tblGroupTieBreakRank[[#This Row],[Home Goals Against Team 1]],tblGroupTieBreakRank[[#This Row],[Away Goals Against Team 1]])</f>
        <v>0</v>
      </c>
      <c r="Z11" s="13">
        <f>tblGroupTieBreakRank[[#This Row],[Total Goals For Team 1]]-tblGroupTieBreakRank[[#This Row],[Total Goals Against Team 1]]</f>
        <v>0</v>
      </c>
      <c r="AA11"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1"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1"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1"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1"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1"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1" s="13">
        <f>SUM(tblGroupTieBreakRank[[#This Row],[Home Points Team 2]:[Away Points Team 2]])</f>
        <v>0</v>
      </c>
      <c r="AH11" s="13">
        <f>SUM(tblGroupTieBreakRank[[#This Row],[Home Goals For Team 2]],tblGroupTieBreakRank[[#This Row],[Away Goals For Team 2]])</f>
        <v>0</v>
      </c>
      <c r="AI11" s="13">
        <f>SUM(tblGroupTieBreakRank[[#This Row],[Home Goals Against Team 2]],tblGroupTieBreakRank[[#This Row],[Away Goals Against Team 2]])</f>
        <v>0</v>
      </c>
      <c r="AJ11" s="13">
        <f>tblGroupTieBreakRank[[#This Row],[Total Goals For Team 2]]-tblGroupTieBreakRank[[#This Row],[Total Goals Against Team 2]]</f>
        <v>0</v>
      </c>
      <c r="AK11"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1"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1"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1"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1"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1"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1" s="13">
        <f>SUM(tblGroupTieBreakRank[[#This Row],[Home Points Team 3]:[Away Points Team 3]])</f>
        <v>0</v>
      </c>
      <c r="AR11" s="13">
        <f>SUM(tblGroupTieBreakRank[[#This Row],[Home Goals For Team 3]],tblGroupTieBreakRank[[#This Row],[Away Goals For Team 3]])</f>
        <v>0</v>
      </c>
      <c r="AS11" s="13">
        <f>SUM(tblGroupTieBreakRank[[#This Row],[Home Goals Against Team 3]],tblGroupTieBreakRank[[#This Row],[Away Goals Against Team 3]])</f>
        <v>0</v>
      </c>
      <c r="AT11" s="13">
        <f>tblGroupTieBreakRank[[#This Row],[Total Goals For Team 3]]-tblGroupTieBreakRank[[#This Row],[Total Goals Against Team 3]]</f>
        <v>0</v>
      </c>
    </row>
    <row r="12" spans="2:46" x14ac:dyDescent="0.25">
      <c r="B12" s="1" t="s">
        <v>33</v>
      </c>
      <c r="C12" s="1">
        <v>2</v>
      </c>
      <c r="D12" s="13">
        <f>COUNTIFS(tblGroupTotals[Group_Code],tblGroupTieBreakRank[[#This Row],[Group_Code]],tblGroupTotals[Group_Points_Rank],tblGroupTieBreakRank[[#This Row],[Point_Rank]])</f>
        <v>0</v>
      </c>
      <c r="E12" s="13" t="str">
        <f>IF(AND(tblGroupTieBreakRank[[#This Row],[Count]]&gt;1,tblGroupTieBreakRank[[#This Row],[Count]]&lt;4),tblGroupTieBreakRank[[#This Row],[Point_Rank]],"")</f>
        <v/>
      </c>
      <c r="F12" s="13" t="str">
        <f>IF(AND(tblGroupTieBreakRank[[#This Row],[Count]]&gt;1,tblGroupTieBreakRank[[#This Row],[Count]]&lt;4),tblGroupTieBreakRank[[#This Row],[Group_Code]]&amp;tblGroupTieBreakRank[[#This Row],[Point_Rank]],"")</f>
        <v/>
      </c>
      <c r="G12" s="13" t="str">
        <f>IFERROR(INDEX(tblGroupTotals[],MATCH(tblGroupTieBreakRank[[#This Row],[Group_Code]]&amp;tblGroupTieBreakRank[[#This Row],[Point_Rank]]&amp;"1",tblGroupTotals[Group_Points_Rank_Code],0),MATCH("Group_Number",tblGroupTotals[#Headers],0)),"")</f>
        <v/>
      </c>
      <c r="H12" s="13" t="str">
        <f>IFERROR(INDEX(tblGroupTotals[],MATCH(tblGroupTieBreakRank[[#This Row],[Group_Code]]&amp;tblGroupTieBreakRank[[#This Row],[Point_Rank]]&amp;"2",tblGroupTotals[Group_Points_Rank_Code],0),MATCH("Group_Number",tblGroupTotals[#Headers],0)),"")</f>
        <v/>
      </c>
      <c r="I12" s="13" t="str">
        <f>IFERROR(INDEX(tblGroupTotals[],MATCH(tblGroupTieBreakRank[[#This Row],[Group_Code]]&amp;tblGroupTieBreakRank[[#This Row],[Point_Rank]]&amp;"3",tblGroupTotals[Group_Points_Rank_Code],0),MATCH("Group_Number",tblGroupTotals[#Headers],0)),"")</f>
        <v/>
      </c>
      <c r="J12" s="13" t="str">
        <f>IFERROR(INDEX(tblGroupTotals[],MATCH(tblGroupTieBreakRank[[#This Row],[Group_Code]]&amp;tblGroupTieBreakRank[[#This Row],[Point_Rank]]&amp;"4",tblGroupTotals[Group_Points_Rank_Code],0),MATCH("Group_Number",tblGroupTotals[#Headers],0)),"")</f>
        <v/>
      </c>
      <c r="K12"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2"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2" s="13" t="str">
        <f>IF(tblGroupTieBreakRank[[#This Row],[Count]]&gt;=3,IF(AND(LEN(tblGroupTieBreakRank[[#This Row],[Team 3]])&gt;0,tblGroupTieBreakRank[[#This Row],[Team 3]]&lt;&gt;tblGroupTieBreakRank[[#This Row],[Rank Team 2]]),tblGroupTieBreakRank[[#This Row],[Team 3]],tblGroupTieBreakRank[[#This Row],[Team 4]]),"")</f>
        <v/>
      </c>
      <c r="N12" s="13" t="str">
        <f>IF(OR(tblGroupTieBreakRank[[#This Row],[Count]]=2,tblGroupTieBreakRank[[#This Row],[Count]]=3),tblGroupTieBreakRank[[#This Row],[Group_Code]]&amp;tblGroupTieBreakRank[[#This Row],[Rank Team 1]]&amp;tblGroupTieBreakRank[[#This Row],[Rank Team 2]],"")</f>
        <v/>
      </c>
      <c r="O12" s="13" t="str">
        <f>IF(tblGroupTieBreakRank[[#This Row],[Count]]=3,tblGroupTieBreakRank[[#This Row],[Group_Code]]&amp;tblGroupTieBreakRank[[#This Row],[Rank Team 1]]&amp;tblGroupTieBreakRank[[#This Row],[Rank Team 3]],"")</f>
        <v/>
      </c>
      <c r="P12" s="13" t="str">
        <f>IF(tblGroupTieBreakRank[[#This Row],[Count]]=3,tblGroupTieBreakRank[[#This Row],[Group_Code]]&amp;tblGroupTieBreakRank[[#This Row],[Rank Team 2]]&amp;tblGroupTieBreakRank[[#This Row],[Rank Team 3]],"")</f>
        <v/>
      </c>
      <c r="Q12"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2"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2"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2"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2"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2"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2" s="13">
        <f>SUM(tblGroupTieBreakRank[[#This Row],[Home Points Team 1]:[Away Points Team 1]])</f>
        <v>0</v>
      </c>
      <c r="X12" s="13">
        <f>SUM(tblGroupTieBreakRank[[#This Row],[Home Goals For Team 1]],tblGroupTieBreakRank[[#This Row],[Away Goals For Team 1]])</f>
        <v>0</v>
      </c>
      <c r="Y12" s="13">
        <f>SUM(tblGroupTieBreakRank[[#This Row],[Home Goals Against Team 1]],tblGroupTieBreakRank[[#This Row],[Away Goals Against Team 1]])</f>
        <v>0</v>
      </c>
      <c r="Z12" s="13">
        <f>tblGroupTieBreakRank[[#This Row],[Total Goals For Team 1]]-tblGroupTieBreakRank[[#This Row],[Total Goals Against Team 1]]</f>
        <v>0</v>
      </c>
      <c r="AA12"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2"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2"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2"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2"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2"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2" s="13">
        <f>SUM(tblGroupTieBreakRank[[#This Row],[Home Points Team 2]:[Away Points Team 2]])</f>
        <v>0</v>
      </c>
      <c r="AH12" s="13">
        <f>SUM(tblGroupTieBreakRank[[#This Row],[Home Goals For Team 2]],tblGroupTieBreakRank[[#This Row],[Away Goals For Team 2]])</f>
        <v>0</v>
      </c>
      <c r="AI12" s="13">
        <f>SUM(tblGroupTieBreakRank[[#This Row],[Home Goals Against Team 2]],tblGroupTieBreakRank[[#This Row],[Away Goals Against Team 2]])</f>
        <v>0</v>
      </c>
      <c r="AJ12" s="13">
        <f>tblGroupTieBreakRank[[#This Row],[Total Goals For Team 2]]-tblGroupTieBreakRank[[#This Row],[Total Goals Against Team 2]]</f>
        <v>0</v>
      </c>
      <c r="AK12"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2"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2"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2"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2"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2"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2" s="13">
        <f>SUM(tblGroupTieBreakRank[[#This Row],[Home Points Team 3]:[Away Points Team 3]])</f>
        <v>0</v>
      </c>
      <c r="AR12" s="13">
        <f>SUM(tblGroupTieBreakRank[[#This Row],[Home Goals For Team 3]],tblGroupTieBreakRank[[#This Row],[Away Goals For Team 3]])</f>
        <v>0</v>
      </c>
      <c r="AS12" s="13">
        <f>SUM(tblGroupTieBreakRank[[#This Row],[Home Goals Against Team 3]],tblGroupTieBreakRank[[#This Row],[Away Goals Against Team 3]])</f>
        <v>0</v>
      </c>
      <c r="AT12" s="13">
        <f>tblGroupTieBreakRank[[#This Row],[Total Goals For Team 3]]-tblGroupTieBreakRank[[#This Row],[Total Goals Against Team 3]]</f>
        <v>0</v>
      </c>
    </row>
    <row r="13" spans="2:46" x14ac:dyDescent="0.25">
      <c r="B13" s="1" t="s">
        <v>33</v>
      </c>
      <c r="C13" s="1">
        <v>3</v>
      </c>
      <c r="D13" s="13">
        <f>COUNTIFS(tblGroupTotals[Group_Code],tblGroupTieBreakRank[[#This Row],[Group_Code]],tblGroupTotals[Group_Points_Rank],tblGroupTieBreakRank[[#This Row],[Point_Rank]])</f>
        <v>0</v>
      </c>
      <c r="E13" s="13" t="str">
        <f>IF(AND(tblGroupTieBreakRank[[#This Row],[Count]]&gt;1,tblGroupTieBreakRank[[#This Row],[Count]]&lt;4),tblGroupTieBreakRank[[#This Row],[Point_Rank]],"")</f>
        <v/>
      </c>
      <c r="F13" s="13" t="str">
        <f>IF(AND(tblGroupTieBreakRank[[#This Row],[Count]]&gt;1,tblGroupTieBreakRank[[#This Row],[Count]]&lt;4),tblGroupTieBreakRank[[#This Row],[Group_Code]]&amp;tblGroupTieBreakRank[[#This Row],[Point_Rank]],"")</f>
        <v/>
      </c>
      <c r="G13" s="13" t="str">
        <f>IFERROR(INDEX(tblGroupTotals[],MATCH(tblGroupTieBreakRank[[#This Row],[Group_Code]]&amp;tblGroupTieBreakRank[[#This Row],[Point_Rank]]&amp;"1",tblGroupTotals[Group_Points_Rank_Code],0),MATCH("Group_Number",tblGroupTotals[#Headers],0)),"")</f>
        <v/>
      </c>
      <c r="H13" s="13" t="str">
        <f>IFERROR(INDEX(tblGroupTotals[],MATCH(tblGroupTieBreakRank[[#This Row],[Group_Code]]&amp;tblGroupTieBreakRank[[#This Row],[Point_Rank]]&amp;"2",tblGroupTotals[Group_Points_Rank_Code],0),MATCH("Group_Number",tblGroupTotals[#Headers],0)),"")</f>
        <v/>
      </c>
      <c r="I13" s="13" t="str">
        <f>IFERROR(INDEX(tblGroupTotals[],MATCH(tblGroupTieBreakRank[[#This Row],[Group_Code]]&amp;tblGroupTieBreakRank[[#This Row],[Point_Rank]]&amp;"3",tblGroupTotals[Group_Points_Rank_Code],0),MATCH("Group_Number",tblGroupTotals[#Headers],0)),"")</f>
        <v/>
      </c>
      <c r="J13" s="13" t="str">
        <f>IFERROR(INDEX(tblGroupTotals[],MATCH(tblGroupTieBreakRank[[#This Row],[Group_Code]]&amp;tblGroupTieBreakRank[[#This Row],[Point_Rank]]&amp;"4",tblGroupTotals[Group_Points_Rank_Code],0),MATCH("Group_Number",tblGroupTotals[#Headers],0)),"")</f>
        <v/>
      </c>
      <c r="K13"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3"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3" s="13" t="str">
        <f>IF(tblGroupTieBreakRank[[#This Row],[Count]]&gt;=3,IF(AND(LEN(tblGroupTieBreakRank[[#This Row],[Team 3]])&gt;0,tblGroupTieBreakRank[[#This Row],[Team 3]]&lt;&gt;tblGroupTieBreakRank[[#This Row],[Rank Team 2]]),tblGroupTieBreakRank[[#This Row],[Team 3]],tblGroupTieBreakRank[[#This Row],[Team 4]]),"")</f>
        <v/>
      </c>
      <c r="N13" s="13" t="str">
        <f>IF(OR(tblGroupTieBreakRank[[#This Row],[Count]]=2,tblGroupTieBreakRank[[#This Row],[Count]]=3),tblGroupTieBreakRank[[#This Row],[Group_Code]]&amp;tblGroupTieBreakRank[[#This Row],[Rank Team 1]]&amp;tblGroupTieBreakRank[[#This Row],[Rank Team 2]],"")</f>
        <v/>
      </c>
      <c r="O13" s="13" t="str">
        <f>IF(tblGroupTieBreakRank[[#This Row],[Count]]=3,tblGroupTieBreakRank[[#This Row],[Group_Code]]&amp;tblGroupTieBreakRank[[#This Row],[Rank Team 1]]&amp;tblGroupTieBreakRank[[#This Row],[Rank Team 3]],"")</f>
        <v/>
      </c>
      <c r="P13" s="13" t="str">
        <f>IF(tblGroupTieBreakRank[[#This Row],[Count]]=3,tblGroupTieBreakRank[[#This Row],[Group_Code]]&amp;tblGroupTieBreakRank[[#This Row],[Rank Team 2]]&amp;tblGroupTieBreakRank[[#This Row],[Rank Team 3]],"")</f>
        <v/>
      </c>
      <c r="Q13"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3"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3"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3"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3"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3"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3" s="13">
        <f>SUM(tblGroupTieBreakRank[[#This Row],[Home Points Team 1]:[Away Points Team 1]])</f>
        <v>0</v>
      </c>
      <c r="X13" s="13">
        <f>SUM(tblGroupTieBreakRank[[#This Row],[Home Goals For Team 1]],tblGroupTieBreakRank[[#This Row],[Away Goals For Team 1]])</f>
        <v>0</v>
      </c>
      <c r="Y13" s="13">
        <f>SUM(tblGroupTieBreakRank[[#This Row],[Home Goals Against Team 1]],tblGroupTieBreakRank[[#This Row],[Away Goals Against Team 1]])</f>
        <v>0</v>
      </c>
      <c r="Z13" s="13">
        <f>tblGroupTieBreakRank[[#This Row],[Total Goals For Team 1]]-tblGroupTieBreakRank[[#This Row],[Total Goals Against Team 1]]</f>
        <v>0</v>
      </c>
      <c r="AA13"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3"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3"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3"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3"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3"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3" s="13">
        <f>SUM(tblGroupTieBreakRank[[#This Row],[Home Points Team 2]:[Away Points Team 2]])</f>
        <v>0</v>
      </c>
      <c r="AH13" s="13">
        <f>SUM(tblGroupTieBreakRank[[#This Row],[Home Goals For Team 2]],tblGroupTieBreakRank[[#This Row],[Away Goals For Team 2]])</f>
        <v>0</v>
      </c>
      <c r="AI13" s="13">
        <f>SUM(tblGroupTieBreakRank[[#This Row],[Home Goals Against Team 2]],tblGroupTieBreakRank[[#This Row],[Away Goals Against Team 2]])</f>
        <v>0</v>
      </c>
      <c r="AJ13" s="13">
        <f>tblGroupTieBreakRank[[#This Row],[Total Goals For Team 2]]-tblGroupTieBreakRank[[#This Row],[Total Goals Against Team 2]]</f>
        <v>0</v>
      </c>
      <c r="AK13"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3"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3"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3"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3"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3"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3" s="13">
        <f>SUM(tblGroupTieBreakRank[[#This Row],[Home Points Team 3]:[Away Points Team 3]])</f>
        <v>0</v>
      </c>
      <c r="AR13" s="13">
        <f>SUM(tblGroupTieBreakRank[[#This Row],[Home Goals For Team 3]],tblGroupTieBreakRank[[#This Row],[Away Goals For Team 3]])</f>
        <v>0</v>
      </c>
      <c r="AS13" s="13">
        <f>SUM(tblGroupTieBreakRank[[#This Row],[Home Goals Against Team 3]],tblGroupTieBreakRank[[#This Row],[Away Goals Against Team 3]])</f>
        <v>0</v>
      </c>
      <c r="AT13" s="13">
        <f>tblGroupTieBreakRank[[#This Row],[Total Goals For Team 3]]-tblGroupTieBreakRank[[#This Row],[Total Goals Against Team 3]]</f>
        <v>0</v>
      </c>
    </row>
    <row r="14" spans="2:46" x14ac:dyDescent="0.25">
      <c r="B14" s="1" t="s">
        <v>33</v>
      </c>
      <c r="C14" s="1">
        <v>4</v>
      </c>
      <c r="D14" s="13">
        <f>COUNTIFS(tblGroupTotals[Group_Code],tblGroupTieBreakRank[[#This Row],[Group_Code]],tblGroupTotals[Group_Points_Rank],tblGroupTieBreakRank[[#This Row],[Point_Rank]])</f>
        <v>0</v>
      </c>
      <c r="E14" s="13" t="str">
        <f>IF(AND(tblGroupTieBreakRank[[#This Row],[Count]]&gt;1,tblGroupTieBreakRank[[#This Row],[Count]]&lt;4),tblGroupTieBreakRank[[#This Row],[Point_Rank]],"")</f>
        <v/>
      </c>
      <c r="F14" s="13" t="str">
        <f>IF(AND(tblGroupTieBreakRank[[#This Row],[Count]]&gt;1,tblGroupTieBreakRank[[#This Row],[Count]]&lt;4),tblGroupTieBreakRank[[#This Row],[Group_Code]]&amp;tblGroupTieBreakRank[[#This Row],[Point_Rank]],"")</f>
        <v/>
      </c>
      <c r="G14" s="13" t="str">
        <f>IFERROR(INDEX(tblGroupTotals[],MATCH(tblGroupTieBreakRank[[#This Row],[Group_Code]]&amp;tblGroupTieBreakRank[[#This Row],[Point_Rank]]&amp;"1",tblGroupTotals[Group_Points_Rank_Code],0),MATCH("Group_Number",tblGroupTotals[#Headers],0)),"")</f>
        <v/>
      </c>
      <c r="H14" s="13" t="str">
        <f>IFERROR(INDEX(tblGroupTotals[],MATCH(tblGroupTieBreakRank[[#This Row],[Group_Code]]&amp;tblGroupTieBreakRank[[#This Row],[Point_Rank]]&amp;"2",tblGroupTotals[Group_Points_Rank_Code],0),MATCH("Group_Number",tblGroupTotals[#Headers],0)),"")</f>
        <v/>
      </c>
      <c r="I14" s="13" t="str">
        <f>IFERROR(INDEX(tblGroupTotals[],MATCH(tblGroupTieBreakRank[[#This Row],[Group_Code]]&amp;tblGroupTieBreakRank[[#This Row],[Point_Rank]]&amp;"3",tblGroupTotals[Group_Points_Rank_Code],0),MATCH("Group_Number",tblGroupTotals[#Headers],0)),"")</f>
        <v/>
      </c>
      <c r="J14" s="13" t="str">
        <f>IFERROR(INDEX(tblGroupTotals[],MATCH(tblGroupTieBreakRank[[#This Row],[Group_Code]]&amp;tblGroupTieBreakRank[[#This Row],[Point_Rank]]&amp;"4",tblGroupTotals[Group_Points_Rank_Code],0),MATCH("Group_Number",tblGroupTotals[#Headers],0)),"")</f>
        <v/>
      </c>
      <c r="K14"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4"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4" s="13" t="str">
        <f>IF(tblGroupTieBreakRank[[#This Row],[Count]]&gt;=3,IF(AND(LEN(tblGroupTieBreakRank[[#This Row],[Team 3]])&gt;0,tblGroupTieBreakRank[[#This Row],[Team 3]]&lt;&gt;tblGroupTieBreakRank[[#This Row],[Rank Team 2]]),tblGroupTieBreakRank[[#This Row],[Team 3]],tblGroupTieBreakRank[[#This Row],[Team 4]]),"")</f>
        <v/>
      </c>
      <c r="N14" s="13" t="str">
        <f>IF(OR(tblGroupTieBreakRank[[#This Row],[Count]]=2,tblGroupTieBreakRank[[#This Row],[Count]]=3),tblGroupTieBreakRank[[#This Row],[Group_Code]]&amp;tblGroupTieBreakRank[[#This Row],[Rank Team 1]]&amp;tblGroupTieBreakRank[[#This Row],[Rank Team 2]],"")</f>
        <v/>
      </c>
      <c r="O14" s="13" t="str">
        <f>IF(tblGroupTieBreakRank[[#This Row],[Count]]=3,tblGroupTieBreakRank[[#This Row],[Group_Code]]&amp;tblGroupTieBreakRank[[#This Row],[Rank Team 1]]&amp;tblGroupTieBreakRank[[#This Row],[Rank Team 3]],"")</f>
        <v/>
      </c>
      <c r="P14" s="13" t="str">
        <f>IF(tblGroupTieBreakRank[[#This Row],[Count]]=3,tblGroupTieBreakRank[[#This Row],[Group_Code]]&amp;tblGroupTieBreakRank[[#This Row],[Rank Team 2]]&amp;tblGroupTieBreakRank[[#This Row],[Rank Team 3]],"")</f>
        <v/>
      </c>
      <c r="Q14"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4"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4"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4"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4"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4"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4" s="13">
        <f>SUM(tblGroupTieBreakRank[[#This Row],[Home Points Team 1]:[Away Points Team 1]])</f>
        <v>0</v>
      </c>
      <c r="X14" s="13">
        <f>SUM(tblGroupTieBreakRank[[#This Row],[Home Goals For Team 1]],tblGroupTieBreakRank[[#This Row],[Away Goals For Team 1]])</f>
        <v>0</v>
      </c>
      <c r="Y14" s="13">
        <f>SUM(tblGroupTieBreakRank[[#This Row],[Home Goals Against Team 1]],tblGroupTieBreakRank[[#This Row],[Away Goals Against Team 1]])</f>
        <v>0</v>
      </c>
      <c r="Z14" s="13">
        <f>tblGroupTieBreakRank[[#This Row],[Total Goals For Team 1]]-tblGroupTieBreakRank[[#This Row],[Total Goals Against Team 1]]</f>
        <v>0</v>
      </c>
      <c r="AA14"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4"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4"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4"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4"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4"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4" s="13">
        <f>SUM(tblGroupTieBreakRank[[#This Row],[Home Points Team 2]:[Away Points Team 2]])</f>
        <v>0</v>
      </c>
      <c r="AH14" s="13">
        <f>SUM(tblGroupTieBreakRank[[#This Row],[Home Goals For Team 2]],tblGroupTieBreakRank[[#This Row],[Away Goals For Team 2]])</f>
        <v>0</v>
      </c>
      <c r="AI14" s="13">
        <f>SUM(tblGroupTieBreakRank[[#This Row],[Home Goals Against Team 2]],tblGroupTieBreakRank[[#This Row],[Away Goals Against Team 2]])</f>
        <v>0</v>
      </c>
      <c r="AJ14" s="13">
        <f>tblGroupTieBreakRank[[#This Row],[Total Goals For Team 2]]-tblGroupTieBreakRank[[#This Row],[Total Goals Against Team 2]]</f>
        <v>0</v>
      </c>
      <c r="AK14"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4"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4"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4"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4"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4"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4" s="13">
        <f>SUM(tblGroupTieBreakRank[[#This Row],[Home Points Team 3]:[Away Points Team 3]])</f>
        <v>0</v>
      </c>
      <c r="AR14" s="13">
        <f>SUM(tblGroupTieBreakRank[[#This Row],[Home Goals For Team 3]],tblGroupTieBreakRank[[#This Row],[Away Goals For Team 3]])</f>
        <v>0</v>
      </c>
      <c r="AS14" s="13">
        <f>SUM(tblGroupTieBreakRank[[#This Row],[Home Goals Against Team 3]],tblGroupTieBreakRank[[#This Row],[Away Goals Against Team 3]])</f>
        <v>0</v>
      </c>
      <c r="AT14" s="13">
        <f>tblGroupTieBreakRank[[#This Row],[Total Goals For Team 3]]-tblGroupTieBreakRank[[#This Row],[Total Goals Against Team 3]]</f>
        <v>0</v>
      </c>
    </row>
    <row r="15" spans="2:46" x14ac:dyDescent="0.25">
      <c r="B15" s="1" t="s">
        <v>34</v>
      </c>
      <c r="C15" s="1">
        <v>1</v>
      </c>
      <c r="D15" s="13">
        <f>COUNTIFS(tblGroupTotals[Group_Code],tblGroupTieBreakRank[[#This Row],[Group_Code]],tblGroupTotals[Group_Points_Rank],tblGroupTieBreakRank[[#This Row],[Point_Rank]])</f>
        <v>4</v>
      </c>
      <c r="E15" s="13" t="str">
        <f>IF(AND(tblGroupTieBreakRank[[#This Row],[Count]]&gt;1,tblGroupTieBreakRank[[#This Row],[Count]]&lt;4),tblGroupTieBreakRank[[#This Row],[Point_Rank]],"")</f>
        <v/>
      </c>
      <c r="F15" s="13" t="str">
        <f>IF(AND(tblGroupTieBreakRank[[#This Row],[Count]]&gt;1,tblGroupTieBreakRank[[#This Row],[Count]]&lt;4),tblGroupTieBreakRank[[#This Row],[Group_Code]]&amp;tblGroupTieBreakRank[[#This Row],[Point_Rank]],"")</f>
        <v/>
      </c>
      <c r="G15" s="13" t="str">
        <f>IFERROR(INDEX(tblGroupTotals[],MATCH(tblGroupTieBreakRank[[#This Row],[Group_Code]]&amp;tblGroupTieBreakRank[[#This Row],[Point_Rank]]&amp;"1",tblGroupTotals[Group_Points_Rank_Code],0),MATCH("Group_Number",tblGroupTotals[#Headers],0)),"")</f>
        <v>1</v>
      </c>
      <c r="H15" s="13" t="str">
        <f>IFERROR(INDEX(tblGroupTotals[],MATCH(tblGroupTieBreakRank[[#This Row],[Group_Code]]&amp;tblGroupTieBreakRank[[#This Row],[Point_Rank]]&amp;"2",tblGroupTotals[Group_Points_Rank_Code],0),MATCH("Group_Number",tblGroupTotals[#Headers],0)),"")</f>
        <v>2</v>
      </c>
      <c r="I15" s="13" t="str">
        <f>IFERROR(INDEX(tblGroupTotals[],MATCH(tblGroupTieBreakRank[[#This Row],[Group_Code]]&amp;tblGroupTieBreakRank[[#This Row],[Point_Rank]]&amp;"3",tblGroupTotals[Group_Points_Rank_Code],0),MATCH("Group_Number",tblGroupTotals[#Headers],0)),"")</f>
        <v>3</v>
      </c>
      <c r="J15" s="13" t="str">
        <f>IFERROR(INDEX(tblGroupTotals[],MATCH(tblGroupTieBreakRank[[#This Row],[Group_Code]]&amp;tblGroupTieBreakRank[[#This Row],[Point_Rank]]&amp;"4",tblGroupTotals[Group_Points_Rank_Code],0),MATCH("Group_Number",tblGroupTotals[#Headers],0)),"")</f>
        <v>4</v>
      </c>
      <c r="K15"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15"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15" s="13" t="str">
        <f>IF(tblGroupTieBreakRank[[#This Row],[Count]]&gt;=3,IF(AND(LEN(tblGroupTieBreakRank[[#This Row],[Team 3]])&gt;0,tblGroupTieBreakRank[[#This Row],[Team 3]]&lt;&gt;tblGroupTieBreakRank[[#This Row],[Rank Team 2]]),tblGroupTieBreakRank[[#This Row],[Team 3]],tblGroupTieBreakRank[[#This Row],[Team 4]]),"")</f>
        <v>3</v>
      </c>
      <c r="N15" s="13" t="str">
        <f>IF(OR(tblGroupTieBreakRank[[#This Row],[Count]]=2,tblGroupTieBreakRank[[#This Row],[Count]]=3),tblGroupTieBreakRank[[#This Row],[Group_Code]]&amp;tblGroupTieBreakRank[[#This Row],[Rank Team 1]]&amp;tblGroupTieBreakRank[[#This Row],[Rank Team 2]],"")</f>
        <v/>
      </c>
      <c r="O15" s="13" t="str">
        <f>IF(tblGroupTieBreakRank[[#This Row],[Count]]=3,tblGroupTieBreakRank[[#This Row],[Group_Code]]&amp;tblGroupTieBreakRank[[#This Row],[Rank Team 1]]&amp;tblGroupTieBreakRank[[#This Row],[Rank Team 3]],"")</f>
        <v/>
      </c>
      <c r="P15" s="13" t="str">
        <f>IF(tblGroupTieBreakRank[[#This Row],[Count]]=3,tblGroupTieBreakRank[[#This Row],[Group_Code]]&amp;tblGroupTieBreakRank[[#This Row],[Rank Team 2]]&amp;tblGroupTieBreakRank[[#This Row],[Rank Team 3]],"")</f>
        <v/>
      </c>
      <c r="Q15"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5"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5"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5"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5"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5"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5" s="13">
        <f>SUM(tblGroupTieBreakRank[[#This Row],[Home Points Team 1]:[Away Points Team 1]])</f>
        <v>0</v>
      </c>
      <c r="X15" s="13">
        <f>SUM(tblGroupTieBreakRank[[#This Row],[Home Goals For Team 1]],tblGroupTieBreakRank[[#This Row],[Away Goals For Team 1]])</f>
        <v>0</v>
      </c>
      <c r="Y15" s="13">
        <f>SUM(tblGroupTieBreakRank[[#This Row],[Home Goals Against Team 1]],tblGroupTieBreakRank[[#This Row],[Away Goals Against Team 1]])</f>
        <v>0</v>
      </c>
      <c r="Z15" s="13">
        <f>tblGroupTieBreakRank[[#This Row],[Total Goals For Team 1]]-tblGroupTieBreakRank[[#This Row],[Total Goals Against Team 1]]</f>
        <v>0</v>
      </c>
      <c r="AA15"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5"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5"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5"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5"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5"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5" s="13">
        <f>SUM(tblGroupTieBreakRank[[#This Row],[Home Points Team 2]:[Away Points Team 2]])</f>
        <v>0</v>
      </c>
      <c r="AH15" s="13">
        <f>SUM(tblGroupTieBreakRank[[#This Row],[Home Goals For Team 2]],tblGroupTieBreakRank[[#This Row],[Away Goals For Team 2]])</f>
        <v>0</v>
      </c>
      <c r="AI15" s="13">
        <f>SUM(tblGroupTieBreakRank[[#This Row],[Home Goals Against Team 2]],tblGroupTieBreakRank[[#This Row],[Away Goals Against Team 2]])</f>
        <v>0</v>
      </c>
      <c r="AJ15" s="13">
        <f>tblGroupTieBreakRank[[#This Row],[Total Goals For Team 2]]-tblGroupTieBreakRank[[#This Row],[Total Goals Against Team 2]]</f>
        <v>0</v>
      </c>
      <c r="AK15"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5"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5"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5"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5"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5"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5" s="13">
        <f>SUM(tblGroupTieBreakRank[[#This Row],[Home Points Team 3]:[Away Points Team 3]])</f>
        <v>0</v>
      </c>
      <c r="AR15" s="13">
        <f>SUM(tblGroupTieBreakRank[[#This Row],[Home Goals For Team 3]],tblGroupTieBreakRank[[#This Row],[Away Goals For Team 3]])</f>
        <v>0</v>
      </c>
      <c r="AS15" s="13">
        <f>SUM(tblGroupTieBreakRank[[#This Row],[Home Goals Against Team 3]],tblGroupTieBreakRank[[#This Row],[Away Goals Against Team 3]])</f>
        <v>0</v>
      </c>
      <c r="AT15" s="13">
        <f>tblGroupTieBreakRank[[#This Row],[Total Goals For Team 3]]-tblGroupTieBreakRank[[#This Row],[Total Goals Against Team 3]]</f>
        <v>0</v>
      </c>
    </row>
    <row r="16" spans="2:46" x14ac:dyDescent="0.25">
      <c r="B16" s="1" t="s">
        <v>34</v>
      </c>
      <c r="C16" s="1">
        <v>2</v>
      </c>
      <c r="D16" s="13">
        <f>COUNTIFS(tblGroupTotals[Group_Code],tblGroupTieBreakRank[[#This Row],[Group_Code]],tblGroupTotals[Group_Points_Rank],tblGroupTieBreakRank[[#This Row],[Point_Rank]])</f>
        <v>0</v>
      </c>
      <c r="E16" s="13" t="str">
        <f>IF(AND(tblGroupTieBreakRank[[#This Row],[Count]]&gt;1,tblGroupTieBreakRank[[#This Row],[Count]]&lt;4),tblGroupTieBreakRank[[#This Row],[Point_Rank]],"")</f>
        <v/>
      </c>
      <c r="F16" s="13" t="str">
        <f>IF(AND(tblGroupTieBreakRank[[#This Row],[Count]]&gt;1,tblGroupTieBreakRank[[#This Row],[Count]]&lt;4),tblGroupTieBreakRank[[#This Row],[Group_Code]]&amp;tblGroupTieBreakRank[[#This Row],[Point_Rank]],"")</f>
        <v/>
      </c>
      <c r="G16" s="13" t="str">
        <f>IFERROR(INDEX(tblGroupTotals[],MATCH(tblGroupTieBreakRank[[#This Row],[Group_Code]]&amp;tblGroupTieBreakRank[[#This Row],[Point_Rank]]&amp;"1",tblGroupTotals[Group_Points_Rank_Code],0),MATCH("Group_Number",tblGroupTotals[#Headers],0)),"")</f>
        <v/>
      </c>
      <c r="H16" s="13" t="str">
        <f>IFERROR(INDEX(tblGroupTotals[],MATCH(tblGroupTieBreakRank[[#This Row],[Group_Code]]&amp;tblGroupTieBreakRank[[#This Row],[Point_Rank]]&amp;"2",tblGroupTotals[Group_Points_Rank_Code],0),MATCH("Group_Number",tblGroupTotals[#Headers],0)),"")</f>
        <v/>
      </c>
      <c r="I16" s="13" t="str">
        <f>IFERROR(INDEX(tblGroupTotals[],MATCH(tblGroupTieBreakRank[[#This Row],[Group_Code]]&amp;tblGroupTieBreakRank[[#This Row],[Point_Rank]]&amp;"3",tblGroupTotals[Group_Points_Rank_Code],0),MATCH("Group_Number",tblGroupTotals[#Headers],0)),"")</f>
        <v/>
      </c>
      <c r="J16" s="13" t="str">
        <f>IFERROR(INDEX(tblGroupTotals[],MATCH(tblGroupTieBreakRank[[#This Row],[Group_Code]]&amp;tblGroupTieBreakRank[[#This Row],[Point_Rank]]&amp;"4",tblGroupTotals[Group_Points_Rank_Code],0),MATCH("Group_Number",tblGroupTotals[#Headers],0)),"")</f>
        <v/>
      </c>
      <c r="K16"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6"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6" s="13" t="str">
        <f>IF(tblGroupTieBreakRank[[#This Row],[Count]]&gt;=3,IF(AND(LEN(tblGroupTieBreakRank[[#This Row],[Team 3]])&gt;0,tblGroupTieBreakRank[[#This Row],[Team 3]]&lt;&gt;tblGroupTieBreakRank[[#This Row],[Rank Team 2]]),tblGroupTieBreakRank[[#This Row],[Team 3]],tblGroupTieBreakRank[[#This Row],[Team 4]]),"")</f>
        <v/>
      </c>
      <c r="N16" s="13" t="str">
        <f>IF(OR(tblGroupTieBreakRank[[#This Row],[Count]]=2,tblGroupTieBreakRank[[#This Row],[Count]]=3),tblGroupTieBreakRank[[#This Row],[Group_Code]]&amp;tblGroupTieBreakRank[[#This Row],[Rank Team 1]]&amp;tblGroupTieBreakRank[[#This Row],[Rank Team 2]],"")</f>
        <v/>
      </c>
      <c r="O16" s="13" t="str">
        <f>IF(tblGroupTieBreakRank[[#This Row],[Count]]=3,tblGroupTieBreakRank[[#This Row],[Group_Code]]&amp;tblGroupTieBreakRank[[#This Row],[Rank Team 1]]&amp;tblGroupTieBreakRank[[#This Row],[Rank Team 3]],"")</f>
        <v/>
      </c>
      <c r="P16" s="13" t="str">
        <f>IF(tblGroupTieBreakRank[[#This Row],[Count]]=3,tblGroupTieBreakRank[[#This Row],[Group_Code]]&amp;tblGroupTieBreakRank[[#This Row],[Rank Team 2]]&amp;tblGroupTieBreakRank[[#This Row],[Rank Team 3]],"")</f>
        <v/>
      </c>
      <c r="Q16"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6"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6"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6"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6"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6"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6" s="13">
        <f>SUM(tblGroupTieBreakRank[[#This Row],[Home Points Team 1]:[Away Points Team 1]])</f>
        <v>0</v>
      </c>
      <c r="X16" s="13">
        <f>SUM(tblGroupTieBreakRank[[#This Row],[Home Goals For Team 1]],tblGroupTieBreakRank[[#This Row],[Away Goals For Team 1]])</f>
        <v>0</v>
      </c>
      <c r="Y16" s="13">
        <f>SUM(tblGroupTieBreakRank[[#This Row],[Home Goals Against Team 1]],tblGroupTieBreakRank[[#This Row],[Away Goals Against Team 1]])</f>
        <v>0</v>
      </c>
      <c r="Z16" s="13">
        <f>tblGroupTieBreakRank[[#This Row],[Total Goals For Team 1]]-tblGroupTieBreakRank[[#This Row],[Total Goals Against Team 1]]</f>
        <v>0</v>
      </c>
      <c r="AA16"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6"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6"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6"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6"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6"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6" s="13">
        <f>SUM(tblGroupTieBreakRank[[#This Row],[Home Points Team 2]:[Away Points Team 2]])</f>
        <v>0</v>
      </c>
      <c r="AH16" s="13">
        <f>SUM(tblGroupTieBreakRank[[#This Row],[Home Goals For Team 2]],tblGroupTieBreakRank[[#This Row],[Away Goals For Team 2]])</f>
        <v>0</v>
      </c>
      <c r="AI16" s="13">
        <f>SUM(tblGroupTieBreakRank[[#This Row],[Home Goals Against Team 2]],tblGroupTieBreakRank[[#This Row],[Away Goals Against Team 2]])</f>
        <v>0</v>
      </c>
      <c r="AJ16" s="13">
        <f>tblGroupTieBreakRank[[#This Row],[Total Goals For Team 2]]-tblGroupTieBreakRank[[#This Row],[Total Goals Against Team 2]]</f>
        <v>0</v>
      </c>
      <c r="AK16"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6"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6"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6"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6"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6"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6" s="13">
        <f>SUM(tblGroupTieBreakRank[[#This Row],[Home Points Team 3]:[Away Points Team 3]])</f>
        <v>0</v>
      </c>
      <c r="AR16" s="13">
        <f>SUM(tblGroupTieBreakRank[[#This Row],[Home Goals For Team 3]],tblGroupTieBreakRank[[#This Row],[Away Goals For Team 3]])</f>
        <v>0</v>
      </c>
      <c r="AS16" s="13">
        <f>SUM(tblGroupTieBreakRank[[#This Row],[Home Goals Against Team 3]],tblGroupTieBreakRank[[#This Row],[Away Goals Against Team 3]])</f>
        <v>0</v>
      </c>
      <c r="AT16" s="13">
        <f>tblGroupTieBreakRank[[#This Row],[Total Goals For Team 3]]-tblGroupTieBreakRank[[#This Row],[Total Goals Against Team 3]]</f>
        <v>0</v>
      </c>
    </row>
    <row r="17" spans="2:46" x14ac:dyDescent="0.25">
      <c r="B17" s="1" t="s">
        <v>34</v>
      </c>
      <c r="C17" s="1">
        <v>3</v>
      </c>
      <c r="D17" s="13">
        <f>COUNTIFS(tblGroupTotals[Group_Code],tblGroupTieBreakRank[[#This Row],[Group_Code]],tblGroupTotals[Group_Points_Rank],tblGroupTieBreakRank[[#This Row],[Point_Rank]])</f>
        <v>0</v>
      </c>
      <c r="E17" s="13" t="str">
        <f>IF(AND(tblGroupTieBreakRank[[#This Row],[Count]]&gt;1,tblGroupTieBreakRank[[#This Row],[Count]]&lt;4),tblGroupTieBreakRank[[#This Row],[Point_Rank]],"")</f>
        <v/>
      </c>
      <c r="F17" s="13" t="str">
        <f>IF(AND(tblGroupTieBreakRank[[#This Row],[Count]]&gt;1,tblGroupTieBreakRank[[#This Row],[Count]]&lt;4),tblGroupTieBreakRank[[#This Row],[Group_Code]]&amp;tblGroupTieBreakRank[[#This Row],[Point_Rank]],"")</f>
        <v/>
      </c>
      <c r="G17" s="13" t="str">
        <f>IFERROR(INDEX(tblGroupTotals[],MATCH(tblGroupTieBreakRank[[#This Row],[Group_Code]]&amp;tblGroupTieBreakRank[[#This Row],[Point_Rank]]&amp;"1",tblGroupTotals[Group_Points_Rank_Code],0),MATCH("Group_Number",tblGroupTotals[#Headers],0)),"")</f>
        <v/>
      </c>
      <c r="H17" s="13" t="str">
        <f>IFERROR(INDEX(tblGroupTotals[],MATCH(tblGroupTieBreakRank[[#This Row],[Group_Code]]&amp;tblGroupTieBreakRank[[#This Row],[Point_Rank]]&amp;"2",tblGroupTotals[Group_Points_Rank_Code],0),MATCH("Group_Number",tblGroupTotals[#Headers],0)),"")</f>
        <v/>
      </c>
      <c r="I17" s="13" t="str">
        <f>IFERROR(INDEX(tblGroupTotals[],MATCH(tblGroupTieBreakRank[[#This Row],[Group_Code]]&amp;tblGroupTieBreakRank[[#This Row],[Point_Rank]]&amp;"3",tblGroupTotals[Group_Points_Rank_Code],0),MATCH("Group_Number",tblGroupTotals[#Headers],0)),"")</f>
        <v/>
      </c>
      <c r="J17" s="13" t="str">
        <f>IFERROR(INDEX(tblGroupTotals[],MATCH(tblGroupTieBreakRank[[#This Row],[Group_Code]]&amp;tblGroupTieBreakRank[[#This Row],[Point_Rank]]&amp;"4",tblGroupTotals[Group_Points_Rank_Code],0),MATCH("Group_Number",tblGroupTotals[#Headers],0)),"")</f>
        <v/>
      </c>
      <c r="K17"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7"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7" s="13" t="str">
        <f>IF(tblGroupTieBreakRank[[#This Row],[Count]]&gt;=3,IF(AND(LEN(tblGroupTieBreakRank[[#This Row],[Team 3]])&gt;0,tblGroupTieBreakRank[[#This Row],[Team 3]]&lt;&gt;tblGroupTieBreakRank[[#This Row],[Rank Team 2]]),tblGroupTieBreakRank[[#This Row],[Team 3]],tblGroupTieBreakRank[[#This Row],[Team 4]]),"")</f>
        <v/>
      </c>
      <c r="N17" s="13" t="str">
        <f>IF(OR(tblGroupTieBreakRank[[#This Row],[Count]]=2,tblGroupTieBreakRank[[#This Row],[Count]]=3),tblGroupTieBreakRank[[#This Row],[Group_Code]]&amp;tblGroupTieBreakRank[[#This Row],[Rank Team 1]]&amp;tblGroupTieBreakRank[[#This Row],[Rank Team 2]],"")</f>
        <v/>
      </c>
      <c r="O17" s="13" t="str">
        <f>IF(tblGroupTieBreakRank[[#This Row],[Count]]=3,tblGroupTieBreakRank[[#This Row],[Group_Code]]&amp;tblGroupTieBreakRank[[#This Row],[Rank Team 1]]&amp;tblGroupTieBreakRank[[#This Row],[Rank Team 3]],"")</f>
        <v/>
      </c>
      <c r="P17" s="13" t="str">
        <f>IF(tblGroupTieBreakRank[[#This Row],[Count]]=3,tblGroupTieBreakRank[[#This Row],[Group_Code]]&amp;tblGroupTieBreakRank[[#This Row],[Rank Team 2]]&amp;tblGroupTieBreakRank[[#This Row],[Rank Team 3]],"")</f>
        <v/>
      </c>
      <c r="Q17"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7"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7"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7"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7"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7"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7" s="13">
        <f>SUM(tblGroupTieBreakRank[[#This Row],[Home Points Team 1]:[Away Points Team 1]])</f>
        <v>0</v>
      </c>
      <c r="X17" s="13">
        <f>SUM(tblGroupTieBreakRank[[#This Row],[Home Goals For Team 1]],tblGroupTieBreakRank[[#This Row],[Away Goals For Team 1]])</f>
        <v>0</v>
      </c>
      <c r="Y17" s="13">
        <f>SUM(tblGroupTieBreakRank[[#This Row],[Home Goals Against Team 1]],tblGroupTieBreakRank[[#This Row],[Away Goals Against Team 1]])</f>
        <v>0</v>
      </c>
      <c r="Z17" s="13">
        <f>tblGroupTieBreakRank[[#This Row],[Total Goals For Team 1]]-tblGroupTieBreakRank[[#This Row],[Total Goals Against Team 1]]</f>
        <v>0</v>
      </c>
      <c r="AA17"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7"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7"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7"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7"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7"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7" s="13">
        <f>SUM(tblGroupTieBreakRank[[#This Row],[Home Points Team 2]:[Away Points Team 2]])</f>
        <v>0</v>
      </c>
      <c r="AH17" s="13">
        <f>SUM(tblGroupTieBreakRank[[#This Row],[Home Goals For Team 2]],tblGroupTieBreakRank[[#This Row],[Away Goals For Team 2]])</f>
        <v>0</v>
      </c>
      <c r="AI17" s="13">
        <f>SUM(tblGroupTieBreakRank[[#This Row],[Home Goals Against Team 2]],tblGroupTieBreakRank[[#This Row],[Away Goals Against Team 2]])</f>
        <v>0</v>
      </c>
      <c r="AJ17" s="13">
        <f>tblGroupTieBreakRank[[#This Row],[Total Goals For Team 2]]-tblGroupTieBreakRank[[#This Row],[Total Goals Against Team 2]]</f>
        <v>0</v>
      </c>
      <c r="AK17"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7"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7"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7"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7"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7"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7" s="13">
        <f>SUM(tblGroupTieBreakRank[[#This Row],[Home Points Team 3]:[Away Points Team 3]])</f>
        <v>0</v>
      </c>
      <c r="AR17" s="13">
        <f>SUM(tblGroupTieBreakRank[[#This Row],[Home Goals For Team 3]],tblGroupTieBreakRank[[#This Row],[Away Goals For Team 3]])</f>
        <v>0</v>
      </c>
      <c r="AS17" s="13">
        <f>SUM(tblGroupTieBreakRank[[#This Row],[Home Goals Against Team 3]],tblGroupTieBreakRank[[#This Row],[Away Goals Against Team 3]])</f>
        <v>0</v>
      </c>
      <c r="AT17" s="13">
        <f>tblGroupTieBreakRank[[#This Row],[Total Goals For Team 3]]-tblGroupTieBreakRank[[#This Row],[Total Goals Against Team 3]]</f>
        <v>0</v>
      </c>
    </row>
    <row r="18" spans="2:46" x14ac:dyDescent="0.25">
      <c r="B18" s="1" t="s">
        <v>34</v>
      </c>
      <c r="C18" s="1">
        <v>4</v>
      </c>
      <c r="D18" s="13">
        <f>COUNTIFS(tblGroupTotals[Group_Code],tblGroupTieBreakRank[[#This Row],[Group_Code]],tblGroupTotals[Group_Points_Rank],tblGroupTieBreakRank[[#This Row],[Point_Rank]])</f>
        <v>0</v>
      </c>
      <c r="E18" s="13" t="str">
        <f>IF(AND(tblGroupTieBreakRank[[#This Row],[Count]]&gt;1,tblGroupTieBreakRank[[#This Row],[Count]]&lt;4),tblGroupTieBreakRank[[#This Row],[Point_Rank]],"")</f>
        <v/>
      </c>
      <c r="F18" s="13" t="str">
        <f>IF(AND(tblGroupTieBreakRank[[#This Row],[Count]]&gt;1,tblGroupTieBreakRank[[#This Row],[Count]]&lt;4),tblGroupTieBreakRank[[#This Row],[Group_Code]]&amp;tblGroupTieBreakRank[[#This Row],[Point_Rank]],"")</f>
        <v/>
      </c>
      <c r="G18" s="13" t="str">
        <f>IFERROR(INDEX(tblGroupTotals[],MATCH(tblGroupTieBreakRank[[#This Row],[Group_Code]]&amp;tblGroupTieBreakRank[[#This Row],[Point_Rank]]&amp;"1",tblGroupTotals[Group_Points_Rank_Code],0),MATCH("Group_Number",tblGroupTotals[#Headers],0)),"")</f>
        <v/>
      </c>
      <c r="H18" s="13" t="str">
        <f>IFERROR(INDEX(tblGroupTotals[],MATCH(tblGroupTieBreakRank[[#This Row],[Group_Code]]&amp;tblGroupTieBreakRank[[#This Row],[Point_Rank]]&amp;"2",tblGroupTotals[Group_Points_Rank_Code],0),MATCH("Group_Number",tblGroupTotals[#Headers],0)),"")</f>
        <v/>
      </c>
      <c r="I18" s="13" t="str">
        <f>IFERROR(INDEX(tblGroupTotals[],MATCH(tblGroupTieBreakRank[[#This Row],[Group_Code]]&amp;tblGroupTieBreakRank[[#This Row],[Point_Rank]]&amp;"3",tblGroupTotals[Group_Points_Rank_Code],0),MATCH("Group_Number",tblGroupTotals[#Headers],0)),"")</f>
        <v/>
      </c>
      <c r="J18" s="13" t="str">
        <f>IFERROR(INDEX(tblGroupTotals[],MATCH(tblGroupTieBreakRank[[#This Row],[Group_Code]]&amp;tblGroupTieBreakRank[[#This Row],[Point_Rank]]&amp;"4",tblGroupTotals[Group_Points_Rank_Code],0),MATCH("Group_Number",tblGroupTotals[#Headers],0)),"")</f>
        <v/>
      </c>
      <c r="K18"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8"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8" s="13" t="str">
        <f>IF(tblGroupTieBreakRank[[#This Row],[Count]]&gt;=3,IF(AND(LEN(tblGroupTieBreakRank[[#This Row],[Team 3]])&gt;0,tblGroupTieBreakRank[[#This Row],[Team 3]]&lt;&gt;tblGroupTieBreakRank[[#This Row],[Rank Team 2]]),tblGroupTieBreakRank[[#This Row],[Team 3]],tblGroupTieBreakRank[[#This Row],[Team 4]]),"")</f>
        <v/>
      </c>
      <c r="N18" s="13" t="str">
        <f>IF(OR(tblGroupTieBreakRank[[#This Row],[Count]]=2,tblGroupTieBreakRank[[#This Row],[Count]]=3),tblGroupTieBreakRank[[#This Row],[Group_Code]]&amp;tblGroupTieBreakRank[[#This Row],[Rank Team 1]]&amp;tblGroupTieBreakRank[[#This Row],[Rank Team 2]],"")</f>
        <v/>
      </c>
      <c r="O18" s="13" t="str">
        <f>IF(tblGroupTieBreakRank[[#This Row],[Count]]=3,tblGroupTieBreakRank[[#This Row],[Group_Code]]&amp;tblGroupTieBreakRank[[#This Row],[Rank Team 1]]&amp;tblGroupTieBreakRank[[#This Row],[Rank Team 3]],"")</f>
        <v/>
      </c>
      <c r="P18" s="13" t="str">
        <f>IF(tblGroupTieBreakRank[[#This Row],[Count]]=3,tblGroupTieBreakRank[[#This Row],[Group_Code]]&amp;tblGroupTieBreakRank[[#This Row],[Rank Team 2]]&amp;tblGroupTieBreakRank[[#This Row],[Rank Team 3]],"")</f>
        <v/>
      </c>
      <c r="Q18"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8"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8"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8"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8"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8"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8" s="13">
        <f>SUM(tblGroupTieBreakRank[[#This Row],[Home Points Team 1]:[Away Points Team 1]])</f>
        <v>0</v>
      </c>
      <c r="X18" s="13">
        <f>SUM(tblGroupTieBreakRank[[#This Row],[Home Goals For Team 1]],tblGroupTieBreakRank[[#This Row],[Away Goals For Team 1]])</f>
        <v>0</v>
      </c>
      <c r="Y18" s="13">
        <f>SUM(tblGroupTieBreakRank[[#This Row],[Home Goals Against Team 1]],tblGroupTieBreakRank[[#This Row],[Away Goals Against Team 1]])</f>
        <v>0</v>
      </c>
      <c r="Z18" s="13">
        <f>tblGroupTieBreakRank[[#This Row],[Total Goals For Team 1]]-tblGroupTieBreakRank[[#This Row],[Total Goals Against Team 1]]</f>
        <v>0</v>
      </c>
      <c r="AA18"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8"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8"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8"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8"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8"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8" s="13">
        <f>SUM(tblGroupTieBreakRank[[#This Row],[Home Points Team 2]:[Away Points Team 2]])</f>
        <v>0</v>
      </c>
      <c r="AH18" s="13">
        <f>SUM(tblGroupTieBreakRank[[#This Row],[Home Goals For Team 2]],tblGroupTieBreakRank[[#This Row],[Away Goals For Team 2]])</f>
        <v>0</v>
      </c>
      <c r="AI18" s="13">
        <f>SUM(tblGroupTieBreakRank[[#This Row],[Home Goals Against Team 2]],tblGroupTieBreakRank[[#This Row],[Away Goals Against Team 2]])</f>
        <v>0</v>
      </c>
      <c r="AJ18" s="13">
        <f>tblGroupTieBreakRank[[#This Row],[Total Goals For Team 2]]-tblGroupTieBreakRank[[#This Row],[Total Goals Against Team 2]]</f>
        <v>0</v>
      </c>
      <c r="AK18"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8"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8"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8"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8"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8"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8" s="13">
        <f>SUM(tblGroupTieBreakRank[[#This Row],[Home Points Team 3]:[Away Points Team 3]])</f>
        <v>0</v>
      </c>
      <c r="AR18" s="13">
        <f>SUM(tblGroupTieBreakRank[[#This Row],[Home Goals For Team 3]],tblGroupTieBreakRank[[#This Row],[Away Goals For Team 3]])</f>
        <v>0</v>
      </c>
      <c r="AS18" s="13">
        <f>SUM(tblGroupTieBreakRank[[#This Row],[Home Goals Against Team 3]],tblGroupTieBreakRank[[#This Row],[Away Goals Against Team 3]])</f>
        <v>0</v>
      </c>
      <c r="AT18" s="13">
        <f>tblGroupTieBreakRank[[#This Row],[Total Goals For Team 3]]-tblGroupTieBreakRank[[#This Row],[Total Goals Against Team 3]]</f>
        <v>0</v>
      </c>
    </row>
    <row r="19" spans="2:46" x14ac:dyDescent="0.25">
      <c r="B19" s="1" t="s">
        <v>27</v>
      </c>
      <c r="C19" s="1">
        <v>1</v>
      </c>
      <c r="D19" s="13">
        <f>COUNTIFS(tblGroupTotals[Group_Code],tblGroupTieBreakRank[[#This Row],[Group_Code]],tblGroupTotals[Group_Points_Rank],tblGroupTieBreakRank[[#This Row],[Point_Rank]])</f>
        <v>4</v>
      </c>
      <c r="E19" s="13" t="str">
        <f>IF(AND(tblGroupTieBreakRank[[#This Row],[Count]]&gt;1,tblGroupTieBreakRank[[#This Row],[Count]]&lt;4),tblGroupTieBreakRank[[#This Row],[Point_Rank]],"")</f>
        <v/>
      </c>
      <c r="F19" s="13" t="str">
        <f>IF(AND(tblGroupTieBreakRank[[#This Row],[Count]]&gt;1,tblGroupTieBreakRank[[#This Row],[Count]]&lt;4),tblGroupTieBreakRank[[#This Row],[Group_Code]]&amp;tblGroupTieBreakRank[[#This Row],[Point_Rank]],"")</f>
        <v/>
      </c>
      <c r="G19" s="13" t="str">
        <f>IFERROR(INDEX(tblGroupTotals[],MATCH(tblGroupTieBreakRank[[#This Row],[Group_Code]]&amp;tblGroupTieBreakRank[[#This Row],[Point_Rank]]&amp;"1",tblGroupTotals[Group_Points_Rank_Code],0),MATCH("Group_Number",tblGroupTotals[#Headers],0)),"")</f>
        <v>1</v>
      </c>
      <c r="H19" s="13" t="str">
        <f>IFERROR(INDEX(tblGroupTotals[],MATCH(tblGroupTieBreakRank[[#This Row],[Group_Code]]&amp;tblGroupTieBreakRank[[#This Row],[Point_Rank]]&amp;"2",tblGroupTotals[Group_Points_Rank_Code],0),MATCH("Group_Number",tblGroupTotals[#Headers],0)),"")</f>
        <v>2</v>
      </c>
      <c r="I19" s="13" t="str">
        <f>IFERROR(INDEX(tblGroupTotals[],MATCH(tblGroupTieBreakRank[[#This Row],[Group_Code]]&amp;tblGroupTieBreakRank[[#This Row],[Point_Rank]]&amp;"3",tblGroupTotals[Group_Points_Rank_Code],0),MATCH("Group_Number",tblGroupTotals[#Headers],0)),"")</f>
        <v>3</v>
      </c>
      <c r="J19" s="13" t="str">
        <f>IFERROR(INDEX(tblGroupTotals[],MATCH(tblGroupTieBreakRank[[#This Row],[Group_Code]]&amp;tblGroupTieBreakRank[[#This Row],[Point_Rank]]&amp;"4",tblGroupTotals[Group_Points_Rank_Code],0),MATCH("Group_Number",tblGroupTotals[#Headers],0)),"")</f>
        <v>4</v>
      </c>
      <c r="K19"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19"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19" s="13" t="str">
        <f>IF(tblGroupTieBreakRank[[#This Row],[Count]]&gt;=3,IF(AND(LEN(tblGroupTieBreakRank[[#This Row],[Team 3]])&gt;0,tblGroupTieBreakRank[[#This Row],[Team 3]]&lt;&gt;tblGroupTieBreakRank[[#This Row],[Rank Team 2]]),tblGroupTieBreakRank[[#This Row],[Team 3]],tblGroupTieBreakRank[[#This Row],[Team 4]]),"")</f>
        <v>3</v>
      </c>
      <c r="N19" s="13" t="str">
        <f>IF(OR(tblGroupTieBreakRank[[#This Row],[Count]]=2,tblGroupTieBreakRank[[#This Row],[Count]]=3),tblGroupTieBreakRank[[#This Row],[Group_Code]]&amp;tblGroupTieBreakRank[[#This Row],[Rank Team 1]]&amp;tblGroupTieBreakRank[[#This Row],[Rank Team 2]],"")</f>
        <v/>
      </c>
      <c r="O19" s="13" t="str">
        <f>IF(tblGroupTieBreakRank[[#This Row],[Count]]=3,tblGroupTieBreakRank[[#This Row],[Group_Code]]&amp;tblGroupTieBreakRank[[#This Row],[Rank Team 1]]&amp;tblGroupTieBreakRank[[#This Row],[Rank Team 3]],"")</f>
        <v/>
      </c>
      <c r="P19" s="13" t="str">
        <f>IF(tblGroupTieBreakRank[[#This Row],[Count]]=3,tblGroupTieBreakRank[[#This Row],[Group_Code]]&amp;tblGroupTieBreakRank[[#This Row],[Rank Team 2]]&amp;tblGroupTieBreakRank[[#This Row],[Rank Team 3]],"")</f>
        <v/>
      </c>
      <c r="Q19"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9"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9"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9"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9"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9"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9" s="13">
        <f>SUM(tblGroupTieBreakRank[[#This Row],[Home Points Team 1]:[Away Points Team 1]])</f>
        <v>0</v>
      </c>
      <c r="X19" s="13">
        <f>SUM(tblGroupTieBreakRank[[#This Row],[Home Goals For Team 1]],tblGroupTieBreakRank[[#This Row],[Away Goals For Team 1]])</f>
        <v>0</v>
      </c>
      <c r="Y19" s="13">
        <f>SUM(tblGroupTieBreakRank[[#This Row],[Home Goals Against Team 1]],tblGroupTieBreakRank[[#This Row],[Away Goals Against Team 1]])</f>
        <v>0</v>
      </c>
      <c r="Z19" s="13">
        <f>tblGroupTieBreakRank[[#This Row],[Total Goals For Team 1]]-tblGroupTieBreakRank[[#This Row],[Total Goals Against Team 1]]</f>
        <v>0</v>
      </c>
      <c r="AA19"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9"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9"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9"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9"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9"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9" s="13">
        <f>SUM(tblGroupTieBreakRank[[#This Row],[Home Points Team 2]:[Away Points Team 2]])</f>
        <v>0</v>
      </c>
      <c r="AH19" s="13">
        <f>SUM(tblGroupTieBreakRank[[#This Row],[Home Goals For Team 2]],tblGroupTieBreakRank[[#This Row],[Away Goals For Team 2]])</f>
        <v>0</v>
      </c>
      <c r="AI19" s="13">
        <f>SUM(tblGroupTieBreakRank[[#This Row],[Home Goals Against Team 2]],tblGroupTieBreakRank[[#This Row],[Away Goals Against Team 2]])</f>
        <v>0</v>
      </c>
      <c r="AJ19" s="13">
        <f>tblGroupTieBreakRank[[#This Row],[Total Goals For Team 2]]-tblGroupTieBreakRank[[#This Row],[Total Goals Against Team 2]]</f>
        <v>0</v>
      </c>
      <c r="AK19"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9"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9"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9"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9"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9"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9" s="13">
        <f>SUM(tblGroupTieBreakRank[[#This Row],[Home Points Team 3]:[Away Points Team 3]])</f>
        <v>0</v>
      </c>
      <c r="AR19" s="13">
        <f>SUM(tblGroupTieBreakRank[[#This Row],[Home Goals For Team 3]],tblGroupTieBreakRank[[#This Row],[Away Goals For Team 3]])</f>
        <v>0</v>
      </c>
      <c r="AS19" s="13">
        <f>SUM(tblGroupTieBreakRank[[#This Row],[Home Goals Against Team 3]],tblGroupTieBreakRank[[#This Row],[Away Goals Against Team 3]])</f>
        <v>0</v>
      </c>
      <c r="AT19" s="13">
        <f>tblGroupTieBreakRank[[#This Row],[Total Goals For Team 3]]-tblGroupTieBreakRank[[#This Row],[Total Goals Against Team 3]]</f>
        <v>0</v>
      </c>
    </row>
    <row r="20" spans="2:46" x14ac:dyDescent="0.25">
      <c r="B20" s="1" t="s">
        <v>27</v>
      </c>
      <c r="C20" s="1">
        <v>2</v>
      </c>
      <c r="D20" s="13">
        <f>COUNTIFS(tblGroupTotals[Group_Code],tblGroupTieBreakRank[[#This Row],[Group_Code]],tblGroupTotals[Group_Points_Rank],tblGroupTieBreakRank[[#This Row],[Point_Rank]])</f>
        <v>0</v>
      </c>
      <c r="E20" s="13" t="str">
        <f>IF(AND(tblGroupTieBreakRank[[#This Row],[Count]]&gt;1,tblGroupTieBreakRank[[#This Row],[Count]]&lt;4),tblGroupTieBreakRank[[#This Row],[Point_Rank]],"")</f>
        <v/>
      </c>
      <c r="F20" s="13" t="str">
        <f>IF(AND(tblGroupTieBreakRank[[#This Row],[Count]]&gt;1,tblGroupTieBreakRank[[#This Row],[Count]]&lt;4),tblGroupTieBreakRank[[#This Row],[Group_Code]]&amp;tblGroupTieBreakRank[[#This Row],[Point_Rank]],"")</f>
        <v/>
      </c>
      <c r="G20" s="13" t="str">
        <f>IFERROR(INDEX(tblGroupTotals[],MATCH(tblGroupTieBreakRank[[#This Row],[Group_Code]]&amp;tblGroupTieBreakRank[[#This Row],[Point_Rank]]&amp;"1",tblGroupTotals[Group_Points_Rank_Code],0),MATCH("Group_Number",tblGroupTotals[#Headers],0)),"")</f>
        <v/>
      </c>
      <c r="H20" s="13" t="str">
        <f>IFERROR(INDEX(tblGroupTotals[],MATCH(tblGroupTieBreakRank[[#This Row],[Group_Code]]&amp;tblGroupTieBreakRank[[#This Row],[Point_Rank]]&amp;"2",tblGroupTotals[Group_Points_Rank_Code],0),MATCH("Group_Number",tblGroupTotals[#Headers],0)),"")</f>
        <v/>
      </c>
      <c r="I20" s="13" t="str">
        <f>IFERROR(INDEX(tblGroupTotals[],MATCH(tblGroupTieBreakRank[[#This Row],[Group_Code]]&amp;tblGroupTieBreakRank[[#This Row],[Point_Rank]]&amp;"3",tblGroupTotals[Group_Points_Rank_Code],0),MATCH("Group_Number",tblGroupTotals[#Headers],0)),"")</f>
        <v/>
      </c>
      <c r="J20" s="13" t="str">
        <f>IFERROR(INDEX(tblGroupTotals[],MATCH(tblGroupTieBreakRank[[#This Row],[Group_Code]]&amp;tblGroupTieBreakRank[[#This Row],[Point_Rank]]&amp;"4",tblGroupTotals[Group_Points_Rank_Code],0),MATCH("Group_Number",tblGroupTotals[#Headers],0)),"")</f>
        <v/>
      </c>
      <c r="K20"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0"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0" s="13" t="str">
        <f>IF(tblGroupTieBreakRank[[#This Row],[Count]]&gt;=3,IF(AND(LEN(tblGroupTieBreakRank[[#This Row],[Team 3]])&gt;0,tblGroupTieBreakRank[[#This Row],[Team 3]]&lt;&gt;tblGroupTieBreakRank[[#This Row],[Rank Team 2]]),tblGroupTieBreakRank[[#This Row],[Team 3]],tblGroupTieBreakRank[[#This Row],[Team 4]]),"")</f>
        <v/>
      </c>
      <c r="N20" s="13" t="str">
        <f>IF(OR(tblGroupTieBreakRank[[#This Row],[Count]]=2,tblGroupTieBreakRank[[#This Row],[Count]]=3),tblGroupTieBreakRank[[#This Row],[Group_Code]]&amp;tblGroupTieBreakRank[[#This Row],[Rank Team 1]]&amp;tblGroupTieBreakRank[[#This Row],[Rank Team 2]],"")</f>
        <v/>
      </c>
      <c r="O20" s="13" t="str">
        <f>IF(tblGroupTieBreakRank[[#This Row],[Count]]=3,tblGroupTieBreakRank[[#This Row],[Group_Code]]&amp;tblGroupTieBreakRank[[#This Row],[Rank Team 1]]&amp;tblGroupTieBreakRank[[#This Row],[Rank Team 3]],"")</f>
        <v/>
      </c>
      <c r="P20" s="13" t="str">
        <f>IF(tblGroupTieBreakRank[[#This Row],[Count]]=3,tblGroupTieBreakRank[[#This Row],[Group_Code]]&amp;tblGroupTieBreakRank[[#This Row],[Rank Team 2]]&amp;tblGroupTieBreakRank[[#This Row],[Rank Team 3]],"")</f>
        <v/>
      </c>
      <c r="Q20"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0"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0"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0"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0"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0"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0" s="13">
        <f>SUM(tblGroupTieBreakRank[[#This Row],[Home Points Team 1]:[Away Points Team 1]])</f>
        <v>0</v>
      </c>
      <c r="X20" s="13">
        <f>SUM(tblGroupTieBreakRank[[#This Row],[Home Goals For Team 1]],tblGroupTieBreakRank[[#This Row],[Away Goals For Team 1]])</f>
        <v>0</v>
      </c>
      <c r="Y20" s="13">
        <f>SUM(tblGroupTieBreakRank[[#This Row],[Home Goals Against Team 1]],tblGroupTieBreakRank[[#This Row],[Away Goals Against Team 1]])</f>
        <v>0</v>
      </c>
      <c r="Z20" s="13">
        <f>tblGroupTieBreakRank[[#This Row],[Total Goals For Team 1]]-tblGroupTieBreakRank[[#This Row],[Total Goals Against Team 1]]</f>
        <v>0</v>
      </c>
      <c r="AA20"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0"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0"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0"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0"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0"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0" s="13">
        <f>SUM(tblGroupTieBreakRank[[#This Row],[Home Points Team 2]:[Away Points Team 2]])</f>
        <v>0</v>
      </c>
      <c r="AH20" s="13">
        <f>SUM(tblGroupTieBreakRank[[#This Row],[Home Goals For Team 2]],tblGroupTieBreakRank[[#This Row],[Away Goals For Team 2]])</f>
        <v>0</v>
      </c>
      <c r="AI20" s="13">
        <f>SUM(tblGroupTieBreakRank[[#This Row],[Home Goals Against Team 2]],tblGroupTieBreakRank[[#This Row],[Away Goals Against Team 2]])</f>
        <v>0</v>
      </c>
      <c r="AJ20" s="13">
        <f>tblGroupTieBreakRank[[#This Row],[Total Goals For Team 2]]-tblGroupTieBreakRank[[#This Row],[Total Goals Against Team 2]]</f>
        <v>0</v>
      </c>
      <c r="AK20"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0"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0"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0"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0"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0"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0" s="13">
        <f>SUM(tblGroupTieBreakRank[[#This Row],[Home Points Team 3]:[Away Points Team 3]])</f>
        <v>0</v>
      </c>
      <c r="AR20" s="13">
        <f>SUM(tblGroupTieBreakRank[[#This Row],[Home Goals For Team 3]],tblGroupTieBreakRank[[#This Row],[Away Goals For Team 3]])</f>
        <v>0</v>
      </c>
      <c r="AS20" s="13">
        <f>SUM(tblGroupTieBreakRank[[#This Row],[Home Goals Against Team 3]],tblGroupTieBreakRank[[#This Row],[Away Goals Against Team 3]])</f>
        <v>0</v>
      </c>
      <c r="AT20" s="13">
        <f>tblGroupTieBreakRank[[#This Row],[Total Goals For Team 3]]-tblGroupTieBreakRank[[#This Row],[Total Goals Against Team 3]]</f>
        <v>0</v>
      </c>
    </row>
    <row r="21" spans="2:46" x14ac:dyDescent="0.25">
      <c r="B21" s="1" t="s">
        <v>27</v>
      </c>
      <c r="C21" s="1">
        <v>3</v>
      </c>
      <c r="D21" s="13">
        <f>COUNTIFS(tblGroupTotals[Group_Code],tblGroupTieBreakRank[[#This Row],[Group_Code]],tblGroupTotals[Group_Points_Rank],tblGroupTieBreakRank[[#This Row],[Point_Rank]])</f>
        <v>0</v>
      </c>
      <c r="E21" s="13" t="str">
        <f>IF(AND(tblGroupTieBreakRank[[#This Row],[Count]]&gt;1,tblGroupTieBreakRank[[#This Row],[Count]]&lt;4),tblGroupTieBreakRank[[#This Row],[Point_Rank]],"")</f>
        <v/>
      </c>
      <c r="F21" s="13" t="str">
        <f>IF(AND(tblGroupTieBreakRank[[#This Row],[Count]]&gt;1,tblGroupTieBreakRank[[#This Row],[Count]]&lt;4),tblGroupTieBreakRank[[#This Row],[Group_Code]]&amp;tblGroupTieBreakRank[[#This Row],[Point_Rank]],"")</f>
        <v/>
      </c>
      <c r="G21" s="13" t="str">
        <f>IFERROR(INDEX(tblGroupTotals[],MATCH(tblGroupTieBreakRank[[#This Row],[Group_Code]]&amp;tblGroupTieBreakRank[[#This Row],[Point_Rank]]&amp;"1",tblGroupTotals[Group_Points_Rank_Code],0),MATCH("Group_Number",tblGroupTotals[#Headers],0)),"")</f>
        <v/>
      </c>
      <c r="H21" s="13" t="str">
        <f>IFERROR(INDEX(tblGroupTotals[],MATCH(tblGroupTieBreakRank[[#This Row],[Group_Code]]&amp;tblGroupTieBreakRank[[#This Row],[Point_Rank]]&amp;"2",tblGroupTotals[Group_Points_Rank_Code],0),MATCH("Group_Number",tblGroupTotals[#Headers],0)),"")</f>
        <v/>
      </c>
      <c r="I21" s="13" t="str">
        <f>IFERROR(INDEX(tblGroupTotals[],MATCH(tblGroupTieBreakRank[[#This Row],[Group_Code]]&amp;tblGroupTieBreakRank[[#This Row],[Point_Rank]]&amp;"3",tblGroupTotals[Group_Points_Rank_Code],0),MATCH("Group_Number",tblGroupTotals[#Headers],0)),"")</f>
        <v/>
      </c>
      <c r="J21" s="13" t="str">
        <f>IFERROR(INDEX(tblGroupTotals[],MATCH(tblGroupTieBreakRank[[#This Row],[Group_Code]]&amp;tblGroupTieBreakRank[[#This Row],[Point_Rank]]&amp;"4",tblGroupTotals[Group_Points_Rank_Code],0),MATCH("Group_Number",tblGroupTotals[#Headers],0)),"")</f>
        <v/>
      </c>
      <c r="K21"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1"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1" s="13" t="str">
        <f>IF(tblGroupTieBreakRank[[#This Row],[Count]]&gt;=3,IF(AND(LEN(tblGroupTieBreakRank[[#This Row],[Team 3]])&gt;0,tblGroupTieBreakRank[[#This Row],[Team 3]]&lt;&gt;tblGroupTieBreakRank[[#This Row],[Rank Team 2]]),tblGroupTieBreakRank[[#This Row],[Team 3]],tblGroupTieBreakRank[[#This Row],[Team 4]]),"")</f>
        <v/>
      </c>
      <c r="N21" s="13" t="str">
        <f>IF(OR(tblGroupTieBreakRank[[#This Row],[Count]]=2,tblGroupTieBreakRank[[#This Row],[Count]]=3),tblGroupTieBreakRank[[#This Row],[Group_Code]]&amp;tblGroupTieBreakRank[[#This Row],[Rank Team 1]]&amp;tblGroupTieBreakRank[[#This Row],[Rank Team 2]],"")</f>
        <v/>
      </c>
      <c r="O21" s="13" t="str">
        <f>IF(tblGroupTieBreakRank[[#This Row],[Count]]=3,tblGroupTieBreakRank[[#This Row],[Group_Code]]&amp;tblGroupTieBreakRank[[#This Row],[Rank Team 1]]&amp;tblGroupTieBreakRank[[#This Row],[Rank Team 3]],"")</f>
        <v/>
      </c>
      <c r="P21" s="13" t="str">
        <f>IF(tblGroupTieBreakRank[[#This Row],[Count]]=3,tblGroupTieBreakRank[[#This Row],[Group_Code]]&amp;tblGroupTieBreakRank[[#This Row],[Rank Team 2]]&amp;tblGroupTieBreakRank[[#This Row],[Rank Team 3]],"")</f>
        <v/>
      </c>
      <c r="Q21"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1"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1"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1"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1"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1"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1" s="13">
        <f>SUM(tblGroupTieBreakRank[[#This Row],[Home Points Team 1]:[Away Points Team 1]])</f>
        <v>0</v>
      </c>
      <c r="X21" s="13">
        <f>SUM(tblGroupTieBreakRank[[#This Row],[Home Goals For Team 1]],tblGroupTieBreakRank[[#This Row],[Away Goals For Team 1]])</f>
        <v>0</v>
      </c>
      <c r="Y21" s="13">
        <f>SUM(tblGroupTieBreakRank[[#This Row],[Home Goals Against Team 1]],tblGroupTieBreakRank[[#This Row],[Away Goals Against Team 1]])</f>
        <v>0</v>
      </c>
      <c r="Z21" s="13">
        <f>tblGroupTieBreakRank[[#This Row],[Total Goals For Team 1]]-tblGroupTieBreakRank[[#This Row],[Total Goals Against Team 1]]</f>
        <v>0</v>
      </c>
      <c r="AA21"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1"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1"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1"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1"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1"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1" s="13">
        <f>SUM(tblGroupTieBreakRank[[#This Row],[Home Points Team 2]:[Away Points Team 2]])</f>
        <v>0</v>
      </c>
      <c r="AH21" s="13">
        <f>SUM(tblGroupTieBreakRank[[#This Row],[Home Goals For Team 2]],tblGroupTieBreakRank[[#This Row],[Away Goals For Team 2]])</f>
        <v>0</v>
      </c>
      <c r="AI21" s="13">
        <f>SUM(tblGroupTieBreakRank[[#This Row],[Home Goals Against Team 2]],tblGroupTieBreakRank[[#This Row],[Away Goals Against Team 2]])</f>
        <v>0</v>
      </c>
      <c r="AJ21" s="13">
        <f>tblGroupTieBreakRank[[#This Row],[Total Goals For Team 2]]-tblGroupTieBreakRank[[#This Row],[Total Goals Against Team 2]]</f>
        <v>0</v>
      </c>
      <c r="AK21"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1"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1"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1"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1"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1"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1" s="13">
        <f>SUM(tblGroupTieBreakRank[[#This Row],[Home Points Team 3]:[Away Points Team 3]])</f>
        <v>0</v>
      </c>
      <c r="AR21" s="13">
        <f>SUM(tblGroupTieBreakRank[[#This Row],[Home Goals For Team 3]],tblGroupTieBreakRank[[#This Row],[Away Goals For Team 3]])</f>
        <v>0</v>
      </c>
      <c r="AS21" s="13">
        <f>SUM(tblGroupTieBreakRank[[#This Row],[Home Goals Against Team 3]],tblGroupTieBreakRank[[#This Row],[Away Goals Against Team 3]])</f>
        <v>0</v>
      </c>
      <c r="AT21" s="13">
        <f>tblGroupTieBreakRank[[#This Row],[Total Goals For Team 3]]-tblGroupTieBreakRank[[#This Row],[Total Goals Against Team 3]]</f>
        <v>0</v>
      </c>
    </row>
    <row r="22" spans="2:46" x14ac:dyDescent="0.25">
      <c r="B22" s="1" t="s">
        <v>27</v>
      </c>
      <c r="C22" s="1">
        <v>4</v>
      </c>
      <c r="D22" s="13">
        <f>COUNTIFS(tblGroupTotals[Group_Code],tblGroupTieBreakRank[[#This Row],[Group_Code]],tblGroupTotals[Group_Points_Rank],tblGroupTieBreakRank[[#This Row],[Point_Rank]])</f>
        <v>0</v>
      </c>
      <c r="E22" s="13" t="str">
        <f>IF(AND(tblGroupTieBreakRank[[#This Row],[Count]]&gt;1,tblGroupTieBreakRank[[#This Row],[Count]]&lt;4),tblGroupTieBreakRank[[#This Row],[Point_Rank]],"")</f>
        <v/>
      </c>
      <c r="F22" s="13" t="str">
        <f>IF(AND(tblGroupTieBreakRank[[#This Row],[Count]]&gt;1,tblGroupTieBreakRank[[#This Row],[Count]]&lt;4),tblGroupTieBreakRank[[#This Row],[Group_Code]]&amp;tblGroupTieBreakRank[[#This Row],[Point_Rank]],"")</f>
        <v/>
      </c>
      <c r="G22" s="13" t="str">
        <f>IFERROR(INDEX(tblGroupTotals[],MATCH(tblGroupTieBreakRank[[#This Row],[Group_Code]]&amp;tblGroupTieBreakRank[[#This Row],[Point_Rank]]&amp;"1",tblGroupTotals[Group_Points_Rank_Code],0),MATCH("Group_Number",tblGroupTotals[#Headers],0)),"")</f>
        <v/>
      </c>
      <c r="H22" s="13" t="str">
        <f>IFERROR(INDEX(tblGroupTotals[],MATCH(tblGroupTieBreakRank[[#This Row],[Group_Code]]&amp;tblGroupTieBreakRank[[#This Row],[Point_Rank]]&amp;"2",tblGroupTotals[Group_Points_Rank_Code],0),MATCH("Group_Number",tblGroupTotals[#Headers],0)),"")</f>
        <v/>
      </c>
      <c r="I22" s="13" t="str">
        <f>IFERROR(INDEX(tblGroupTotals[],MATCH(tblGroupTieBreakRank[[#This Row],[Group_Code]]&amp;tblGroupTieBreakRank[[#This Row],[Point_Rank]]&amp;"3",tblGroupTotals[Group_Points_Rank_Code],0),MATCH("Group_Number",tblGroupTotals[#Headers],0)),"")</f>
        <v/>
      </c>
      <c r="J22" s="13" t="str">
        <f>IFERROR(INDEX(tblGroupTotals[],MATCH(tblGroupTieBreakRank[[#This Row],[Group_Code]]&amp;tblGroupTieBreakRank[[#This Row],[Point_Rank]]&amp;"4",tblGroupTotals[Group_Points_Rank_Code],0),MATCH("Group_Number",tblGroupTotals[#Headers],0)),"")</f>
        <v/>
      </c>
      <c r="K22"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2"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2" s="13" t="str">
        <f>IF(tblGroupTieBreakRank[[#This Row],[Count]]&gt;=3,IF(AND(LEN(tblGroupTieBreakRank[[#This Row],[Team 3]])&gt;0,tblGroupTieBreakRank[[#This Row],[Team 3]]&lt;&gt;tblGroupTieBreakRank[[#This Row],[Rank Team 2]]),tblGroupTieBreakRank[[#This Row],[Team 3]],tblGroupTieBreakRank[[#This Row],[Team 4]]),"")</f>
        <v/>
      </c>
      <c r="N22" s="13" t="str">
        <f>IF(OR(tblGroupTieBreakRank[[#This Row],[Count]]=2,tblGroupTieBreakRank[[#This Row],[Count]]=3),tblGroupTieBreakRank[[#This Row],[Group_Code]]&amp;tblGroupTieBreakRank[[#This Row],[Rank Team 1]]&amp;tblGroupTieBreakRank[[#This Row],[Rank Team 2]],"")</f>
        <v/>
      </c>
      <c r="O22" s="13" t="str">
        <f>IF(tblGroupTieBreakRank[[#This Row],[Count]]=3,tblGroupTieBreakRank[[#This Row],[Group_Code]]&amp;tblGroupTieBreakRank[[#This Row],[Rank Team 1]]&amp;tblGroupTieBreakRank[[#This Row],[Rank Team 3]],"")</f>
        <v/>
      </c>
      <c r="P22" s="13" t="str">
        <f>IF(tblGroupTieBreakRank[[#This Row],[Count]]=3,tblGroupTieBreakRank[[#This Row],[Group_Code]]&amp;tblGroupTieBreakRank[[#This Row],[Rank Team 2]]&amp;tblGroupTieBreakRank[[#This Row],[Rank Team 3]],"")</f>
        <v/>
      </c>
      <c r="Q22"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2"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2"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2"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2"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2"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2" s="13">
        <f>SUM(tblGroupTieBreakRank[[#This Row],[Home Points Team 1]:[Away Points Team 1]])</f>
        <v>0</v>
      </c>
      <c r="X22" s="13">
        <f>SUM(tblGroupTieBreakRank[[#This Row],[Home Goals For Team 1]],tblGroupTieBreakRank[[#This Row],[Away Goals For Team 1]])</f>
        <v>0</v>
      </c>
      <c r="Y22" s="13">
        <f>SUM(tblGroupTieBreakRank[[#This Row],[Home Goals Against Team 1]],tblGroupTieBreakRank[[#This Row],[Away Goals Against Team 1]])</f>
        <v>0</v>
      </c>
      <c r="Z22" s="13">
        <f>tblGroupTieBreakRank[[#This Row],[Total Goals For Team 1]]-tblGroupTieBreakRank[[#This Row],[Total Goals Against Team 1]]</f>
        <v>0</v>
      </c>
      <c r="AA22"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2"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2"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2"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2"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2"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2" s="13">
        <f>SUM(tblGroupTieBreakRank[[#This Row],[Home Points Team 2]:[Away Points Team 2]])</f>
        <v>0</v>
      </c>
      <c r="AH22" s="13">
        <f>SUM(tblGroupTieBreakRank[[#This Row],[Home Goals For Team 2]],tblGroupTieBreakRank[[#This Row],[Away Goals For Team 2]])</f>
        <v>0</v>
      </c>
      <c r="AI22" s="13">
        <f>SUM(tblGroupTieBreakRank[[#This Row],[Home Goals Against Team 2]],tblGroupTieBreakRank[[#This Row],[Away Goals Against Team 2]])</f>
        <v>0</v>
      </c>
      <c r="AJ22" s="13">
        <f>tblGroupTieBreakRank[[#This Row],[Total Goals For Team 2]]-tblGroupTieBreakRank[[#This Row],[Total Goals Against Team 2]]</f>
        <v>0</v>
      </c>
      <c r="AK22"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2"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2"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2"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2"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2"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2" s="13">
        <f>SUM(tblGroupTieBreakRank[[#This Row],[Home Points Team 3]:[Away Points Team 3]])</f>
        <v>0</v>
      </c>
      <c r="AR22" s="13">
        <f>SUM(tblGroupTieBreakRank[[#This Row],[Home Goals For Team 3]],tblGroupTieBreakRank[[#This Row],[Away Goals For Team 3]])</f>
        <v>0</v>
      </c>
      <c r="AS22" s="13">
        <f>SUM(tblGroupTieBreakRank[[#This Row],[Home Goals Against Team 3]],tblGroupTieBreakRank[[#This Row],[Away Goals Against Team 3]])</f>
        <v>0</v>
      </c>
      <c r="AT22" s="13">
        <f>tblGroupTieBreakRank[[#This Row],[Total Goals For Team 3]]-tblGroupTieBreakRank[[#This Row],[Total Goals Against Team 3]]</f>
        <v>0</v>
      </c>
    </row>
    <row r="23" spans="2:46" x14ac:dyDescent="0.25">
      <c r="B23" s="1" t="s">
        <v>32</v>
      </c>
      <c r="C23" s="1">
        <v>1</v>
      </c>
      <c r="D23" s="13">
        <f>COUNTIFS(tblGroupTotals[Group_Code],tblGroupTieBreakRank[[#This Row],[Group_Code]],tblGroupTotals[Group_Points_Rank],tblGroupTieBreakRank[[#This Row],[Point_Rank]])</f>
        <v>4</v>
      </c>
      <c r="E23" s="13" t="str">
        <f>IF(AND(tblGroupTieBreakRank[[#This Row],[Count]]&gt;1,tblGroupTieBreakRank[[#This Row],[Count]]&lt;4),tblGroupTieBreakRank[[#This Row],[Point_Rank]],"")</f>
        <v/>
      </c>
      <c r="F23" s="13" t="str">
        <f>IF(AND(tblGroupTieBreakRank[[#This Row],[Count]]&gt;1,tblGroupTieBreakRank[[#This Row],[Count]]&lt;4),tblGroupTieBreakRank[[#This Row],[Group_Code]]&amp;tblGroupTieBreakRank[[#This Row],[Point_Rank]],"")</f>
        <v/>
      </c>
      <c r="G23" s="13" t="str">
        <f>IFERROR(INDEX(tblGroupTotals[],MATCH(tblGroupTieBreakRank[[#This Row],[Group_Code]]&amp;tblGroupTieBreakRank[[#This Row],[Point_Rank]]&amp;"1",tblGroupTotals[Group_Points_Rank_Code],0),MATCH("Group_Number",tblGroupTotals[#Headers],0)),"")</f>
        <v>1</v>
      </c>
      <c r="H23" s="13" t="str">
        <f>IFERROR(INDEX(tblGroupTotals[],MATCH(tblGroupTieBreakRank[[#This Row],[Group_Code]]&amp;tblGroupTieBreakRank[[#This Row],[Point_Rank]]&amp;"2",tblGroupTotals[Group_Points_Rank_Code],0),MATCH("Group_Number",tblGroupTotals[#Headers],0)),"")</f>
        <v>2</v>
      </c>
      <c r="I23" s="13" t="str">
        <f>IFERROR(INDEX(tblGroupTotals[],MATCH(tblGroupTieBreakRank[[#This Row],[Group_Code]]&amp;tblGroupTieBreakRank[[#This Row],[Point_Rank]]&amp;"3",tblGroupTotals[Group_Points_Rank_Code],0),MATCH("Group_Number",tblGroupTotals[#Headers],0)),"")</f>
        <v>3</v>
      </c>
      <c r="J23" s="13" t="str">
        <f>IFERROR(INDEX(tblGroupTotals[],MATCH(tblGroupTieBreakRank[[#This Row],[Group_Code]]&amp;tblGroupTieBreakRank[[#This Row],[Point_Rank]]&amp;"4",tblGroupTotals[Group_Points_Rank_Code],0),MATCH("Group_Number",tblGroupTotals[#Headers],0)),"")</f>
        <v>4</v>
      </c>
      <c r="K23"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23"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23" s="13" t="str">
        <f>IF(tblGroupTieBreakRank[[#This Row],[Count]]&gt;=3,IF(AND(LEN(tblGroupTieBreakRank[[#This Row],[Team 3]])&gt;0,tblGroupTieBreakRank[[#This Row],[Team 3]]&lt;&gt;tblGroupTieBreakRank[[#This Row],[Rank Team 2]]),tblGroupTieBreakRank[[#This Row],[Team 3]],tblGroupTieBreakRank[[#This Row],[Team 4]]),"")</f>
        <v>3</v>
      </c>
      <c r="N23" s="13" t="str">
        <f>IF(OR(tblGroupTieBreakRank[[#This Row],[Count]]=2,tblGroupTieBreakRank[[#This Row],[Count]]=3),tblGroupTieBreakRank[[#This Row],[Group_Code]]&amp;tblGroupTieBreakRank[[#This Row],[Rank Team 1]]&amp;tblGroupTieBreakRank[[#This Row],[Rank Team 2]],"")</f>
        <v/>
      </c>
      <c r="O23" s="13" t="str">
        <f>IF(tblGroupTieBreakRank[[#This Row],[Count]]=3,tblGroupTieBreakRank[[#This Row],[Group_Code]]&amp;tblGroupTieBreakRank[[#This Row],[Rank Team 1]]&amp;tblGroupTieBreakRank[[#This Row],[Rank Team 3]],"")</f>
        <v/>
      </c>
      <c r="P23" s="13" t="str">
        <f>IF(tblGroupTieBreakRank[[#This Row],[Count]]=3,tblGroupTieBreakRank[[#This Row],[Group_Code]]&amp;tblGroupTieBreakRank[[#This Row],[Rank Team 2]]&amp;tblGroupTieBreakRank[[#This Row],[Rank Team 3]],"")</f>
        <v/>
      </c>
      <c r="Q23"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3"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3"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3"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3"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3"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3" s="13">
        <f>SUM(tblGroupTieBreakRank[[#This Row],[Home Points Team 1]:[Away Points Team 1]])</f>
        <v>0</v>
      </c>
      <c r="X23" s="13">
        <f>SUM(tblGroupTieBreakRank[[#This Row],[Home Goals For Team 1]],tblGroupTieBreakRank[[#This Row],[Away Goals For Team 1]])</f>
        <v>0</v>
      </c>
      <c r="Y23" s="13">
        <f>SUM(tblGroupTieBreakRank[[#This Row],[Home Goals Against Team 1]],tblGroupTieBreakRank[[#This Row],[Away Goals Against Team 1]])</f>
        <v>0</v>
      </c>
      <c r="Z23" s="13">
        <f>tblGroupTieBreakRank[[#This Row],[Total Goals For Team 1]]-tblGroupTieBreakRank[[#This Row],[Total Goals Against Team 1]]</f>
        <v>0</v>
      </c>
      <c r="AA23"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3"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3"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3"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3"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3"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3" s="13">
        <f>SUM(tblGroupTieBreakRank[[#This Row],[Home Points Team 2]:[Away Points Team 2]])</f>
        <v>0</v>
      </c>
      <c r="AH23" s="13">
        <f>SUM(tblGroupTieBreakRank[[#This Row],[Home Goals For Team 2]],tblGroupTieBreakRank[[#This Row],[Away Goals For Team 2]])</f>
        <v>0</v>
      </c>
      <c r="AI23" s="13">
        <f>SUM(tblGroupTieBreakRank[[#This Row],[Home Goals Against Team 2]],tblGroupTieBreakRank[[#This Row],[Away Goals Against Team 2]])</f>
        <v>0</v>
      </c>
      <c r="AJ23" s="13">
        <f>tblGroupTieBreakRank[[#This Row],[Total Goals For Team 2]]-tblGroupTieBreakRank[[#This Row],[Total Goals Against Team 2]]</f>
        <v>0</v>
      </c>
      <c r="AK23"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3"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3"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3"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3"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3"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3" s="13">
        <f>SUM(tblGroupTieBreakRank[[#This Row],[Home Points Team 3]:[Away Points Team 3]])</f>
        <v>0</v>
      </c>
      <c r="AR23" s="13">
        <f>SUM(tblGroupTieBreakRank[[#This Row],[Home Goals For Team 3]],tblGroupTieBreakRank[[#This Row],[Away Goals For Team 3]])</f>
        <v>0</v>
      </c>
      <c r="AS23" s="13">
        <f>SUM(tblGroupTieBreakRank[[#This Row],[Home Goals Against Team 3]],tblGroupTieBreakRank[[#This Row],[Away Goals Against Team 3]])</f>
        <v>0</v>
      </c>
      <c r="AT23" s="13">
        <f>tblGroupTieBreakRank[[#This Row],[Total Goals For Team 3]]-tblGroupTieBreakRank[[#This Row],[Total Goals Against Team 3]]</f>
        <v>0</v>
      </c>
    </row>
    <row r="24" spans="2:46" x14ac:dyDescent="0.25">
      <c r="B24" s="1" t="s">
        <v>32</v>
      </c>
      <c r="C24" s="1">
        <v>2</v>
      </c>
      <c r="D24" s="13">
        <f>COUNTIFS(tblGroupTotals[Group_Code],tblGroupTieBreakRank[[#This Row],[Group_Code]],tblGroupTotals[Group_Points_Rank],tblGroupTieBreakRank[[#This Row],[Point_Rank]])</f>
        <v>0</v>
      </c>
      <c r="E24" s="13" t="str">
        <f>IF(AND(tblGroupTieBreakRank[[#This Row],[Count]]&gt;1,tblGroupTieBreakRank[[#This Row],[Count]]&lt;4),tblGroupTieBreakRank[[#This Row],[Point_Rank]],"")</f>
        <v/>
      </c>
      <c r="F24" s="13" t="str">
        <f>IF(AND(tblGroupTieBreakRank[[#This Row],[Count]]&gt;1,tblGroupTieBreakRank[[#This Row],[Count]]&lt;4),tblGroupTieBreakRank[[#This Row],[Group_Code]]&amp;tblGroupTieBreakRank[[#This Row],[Point_Rank]],"")</f>
        <v/>
      </c>
      <c r="G24" s="13" t="str">
        <f>IFERROR(INDEX(tblGroupTotals[],MATCH(tblGroupTieBreakRank[[#This Row],[Group_Code]]&amp;tblGroupTieBreakRank[[#This Row],[Point_Rank]]&amp;"1",tblGroupTotals[Group_Points_Rank_Code],0),MATCH("Group_Number",tblGroupTotals[#Headers],0)),"")</f>
        <v/>
      </c>
      <c r="H24" s="13" t="str">
        <f>IFERROR(INDEX(tblGroupTotals[],MATCH(tblGroupTieBreakRank[[#This Row],[Group_Code]]&amp;tblGroupTieBreakRank[[#This Row],[Point_Rank]]&amp;"2",tblGroupTotals[Group_Points_Rank_Code],0),MATCH("Group_Number",tblGroupTotals[#Headers],0)),"")</f>
        <v/>
      </c>
      <c r="I24" s="13" t="str">
        <f>IFERROR(INDEX(tblGroupTotals[],MATCH(tblGroupTieBreakRank[[#This Row],[Group_Code]]&amp;tblGroupTieBreakRank[[#This Row],[Point_Rank]]&amp;"3",tblGroupTotals[Group_Points_Rank_Code],0),MATCH("Group_Number",tblGroupTotals[#Headers],0)),"")</f>
        <v/>
      </c>
      <c r="J24" s="13" t="str">
        <f>IFERROR(INDEX(tblGroupTotals[],MATCH(tblGroupTieBreakRank[[#This Row],[Group_Code]]&amp;tblGroupTieBreakRank[[#This Row],[Point_Rank]]&amp;"4",tblGroupTotals[Group_Points_Rank_Code],0),MATCH("Group_Number",tblGroupTotals[#Headers],0)),"")</f>
        <v/>
      </c>
      <c r="K24"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4"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4" s="13" t="str">
        <f>IF(tblGroupTieBreakRank[[#This Row],[Count]]&gt;=3,IF(AND(LEN(tblGroupTieBreakRank[[#This Row],[Team 3]])&gt;0,tblGroupTieBreakRank[[#This Row],[Team 3]]&lt;&gt;tblGroupTieBreakRank[[#This Row],[Rank Team 2]]),tblGroupTieBreakRank[[#This Row],[Team 3]],tblGroupTieBreakRank[[#This Row],[Team 4]]),"")</f>
        <v/>
      </c>
      <c r="N24" s="13" t="str">
        <f>IF(OR(tblGroupTieBreakRank[[#This Row],[Count]]=2,tblGroupTieBreakRank[[#This Row],[Count]]=3),tblGroupTieBreakRank[[#This Row],[Group_Code]]&amp;tblGroupTieBreakRank[[#This Row],[Rank Team 1]]&amp;tblGroupTieBreakRank[[#This Row],[Rank Team 2]],"")</f>
        <v/>
      </c>
      <c r="O24" s="13" t="str">
        <f>IF(tblGroupTieBreakRank[[#This Row],[Count]]=3,tblGroupTieBreakRank[[#This Row],[Group_Code]]&amp;tblGroupTieBreakRank[[#This Row],[Rank Team 1]]&amp;tblGroupTieBreakRank[[#This Row],[Rank Team 3]],"")</f>
        <v/>
      </c>
      <c r="P24" s="13" t="str">
        <f>IF(tblGroupTieBreakRank[[#This Row],[Count]]=3,tblGroupTieBreakRank[[#This Row],[Group_Code]]&amp;tblGroupTieBreakRank[[#This Row],[Rank Team 2]]&amp;tblGroupTieBreakRank[[#This Row],[Rank Team 3]],"")</f>
        <v/>
      </c>
      <c r="Q24"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4"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4"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4"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4"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4"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4" s="13">
        <f>SUM(tblGroupTieBreakRank[[#This Row],[Home Points Team 1]:[Away Points Team 1]])</f>
        <v>0</v>
      </c>
      <c r="X24" s="13">
        <f>SUM(tblGroupTieBreakRank[[#This Row],[Home Goals For Team 1]],tblGroupTieBreakRank[[#This Row],[Away Goals For Team 1]])</f>
        <v>0</v>
      </c>
      <c r="Y24" s="13">
        <f>SUM(tblGroupTieBreakRank[[#This Row],[Home Goals Against Team 1]],tblGroupTieBreakRank[[#This Row],[Away Goals Against Team 1]])</f>
        <v>0</v>
      </c>
      <c r="Z24" s="13">
        <f>tblGroupTieBreakRank[[#This Row],[Total Goals For Team 1]]-tblGroupTieBreakRank[[#This Row],[Total Goals Against Team 1]]</f>
        <v>0</v>
      </c>
      <c r="AA24"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4"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4"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4"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4"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4"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4" s="13">
        <f>SUM(tblGroupTieBreakRank[[#This Row],[Home Points Team 2]:[Away Points Team 2]])</f>
        <v>0</v>
      </c>
      <c r="AH24" s="13">
        <f>SUM(tblGroupTieBreakRank[[#This Row],[Home Goals For Team 2]],tblGroupTieBreakRank[[#This Row],[Away Goals For Team 2]])</f>
        <v>0</v>
      </c>
      <c r="AI24" s="13">
        <f>SUM(tblGroupTieBreakRank[[#This Row],[Home Goals Against Team 2]],tblGroupTieBreakRank[[#This Row],[Away Goals Against Team 2]])</f>
        <v>0</v>
      </c>
      <c r="AJ24" s="13">
        <f>tblGroupTieBreakRank[[#This Row],[Total Goals For Team 2]]-tblGroupTieBreakRank[[#This Row],[Total Goals Against Team 2]]</f>
        <v>0</v>
      </c>
      <c r="AK24"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4"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4"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4"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4"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4"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4" s="13">
        <f>SUM(tblGroupTieBreakRank[[#This Row],[Home Points Team 3]:[Away Points Team 3]])</f>
        <v>0</v>
      </c>
      <c r="AR24" s="13">
        <f>SUM(tblGroupTieBreakRank[[#This Row],[Home Goals For Team 3]],tblGroupTieBreakRank[[#This Row],[Away Goals For Team 3]])</f>
        <v>0</v>
      </c>
      <c r="AS24" s="13">
        <f>SUM(tblGroupTieBreakRank[[#This Row],[Home Goals Against Team 3]],tblGroupTieBreakRank[[#This Row],[Away Goals Against Team 3]])</f>
        <v>0</v>
      </c>
      <c r="AT24" s="13">
        <f>tblGroupTieBreakRank[[#This Row],[Total Goals For Team 3]]-tblGroupTieBreakRank[[#This Row],[Total Goals Against Team 3]]</f>
        <v>0</v>
      </c>
    </row>
    <row r="25" spans="2:46" x14ac:dyDescent="0.25">
      <c r="B25" s="1" t="s">
        <v>32</v>
      </c>
      <c r="C25" s="1">
        <v>3</v>
      </c>
      <c r="D25" s="13">
        <f>COUNTIFS(tblGroupTotals[Group_Code],tblGroupTieBreakRank[[#This Row],[Group_Code]],tblGroupTotals[Group_Points_Rank],tblGroupTieBreakRank[[#This Row],[Point_Rank]])</f>
        <v>0</v>
      </c>
      <c r="E25" s="13" t="str">
        <f>IF(AND(tblGroupTieBreakRank[[#This Row],[Count]]&gt;1,tblGroupTieBreakRank[[#This Row],[Count]]&lt;4),tblGroupTieBreakRank[[#This Row],[Point_Rank]],"")</f>
        <v/>
      </c>
      <c r="F25" s="13" t="str">
        <f>IF(AND(tblGroupTieBreakRank[[#This Row],[Count]]&gt;1,tblGroupTieBreakRank[[#This Row],[Count]]&lt;4),tblGroupTieBreakRank[[#This Row],[Group_Code]]&amp;tblGroupTieBreakRank[[#This Row],[Point_Rank]],"")</f>
        <v/>
      </c>
      <c r="G25" s="13" t="str">
        <f>IFERROR(INDEX(tblGroupTotals[],MATCH(tblGroupTieBreakRank[[#This Row],[Group_Code]]&amp;tblGroupTieBreakRank[[#This Row],[Point_Rank]]&amp;"1",tblGroupTotals[Group_Points_Rank_Code],0),MATCH("Group_Number",tblGroupTotals[#Headers],0)),"")</f>
        <v/>
      </c>
      <c r="H25" s="13" t="str">
        <f>IFERROR(INDEX(tblGroupTotals[],MATCH(tblGroupTieBreakRank[[#This Row],[Group_Code]]&amp;tblGroupTieBreakRank[[#This Row],[Point_Rank]]&amp;"2",tblGroupTotals[Group_Points_Rank_Code],0),MATCH("Group_Number",tblGroupTotals[#Headers],0)),"")</f>
        <v/>
      </c>
      <c r="I25" s="13" t="str">
        <f>IFERROR(INDEX(tblGroupTotals[],MATCH(tblGroupTieBreakRank[[#This Row],[Group_Code]]&amp;tblGroupTieBreakRank[[#This Row],[Point_Rank]]&amp;"3",tblGroupTotals[Group_Points_Rank_Code],0),MATCH("Group_Number",tblGroupTotals[#Headers],0)),"")</f>
        <v/>
      </c>
      <c r="J25" s="13" t="str">
        <f>IFERROR(INDEX(tblGroupTotals[],MATCH(tblGroupTieBreakRank[[#This Row],[Group_Code]]&amp;tblGroupTieBreakRank[[#This Row],[Point_Rank]]&amp;"4",tblGroupTotals[Group_Points_Rank_Code],0),MATCH("Group_Number",tblGroupTotals[#Headers],0)),"")</f>
        <v/>
      </c>
      <c r="K25"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5"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5" s="13" t="str">
        <f>IF(tblGroupTieBreakRank[[#This Row],[Count]]&gt;=3,IF(AND(LEN(tblGroupTieBreakRank[[#This Row],[Team 3]])&gt;0,tblGroupTieBreakRank[[#This Row],[Team 3]]&lt;&gt;tblGroupTieBreakRank[[#This Row],[Rank Team 2]]),tblGroupTieBreakRank[[#This Row],[Team 3]],tblGroupTieBreakRank[[#This Row],[Team 4]]),"")</f>
        <v/>
      </c>
      <c r="N25" s="13" t="str">
        <f>IF(OR(tblGroupTieBreakRank[[#This Row],[Count]]=2,tblGroupTieBreakRank[[#This Row],[Count]]=3),tblGroupTieBreakRank[[#This Row],[Group_Code]]&amp;tblGroupTieBreakRank[[#This Row],[Rank Team 1]]&amp;tblGroupTieBreakRank[[#This Row],[Rank Team 2]],"")</f>
        <v/>
      </c>
      <c r="O25" s="13" t="str">
        <f>IF(tblGroupTieBreakRank[[#This Row],[Count]]=3,tblGroupTieBreakRank[[#This Row],[Group_Code]]&amp;tblGroupTieBreakRank[[#This Row],[Rank Team 1]]&amp;tblGroupTieBreakRank[[#This Row],[Rank Team 3]],"")</f>
        <v/>
      </c>
      <c r="P25" s="13" t="str">
        <f>IF(tblGroupTieBreakRank[[#This Row],[Count]]=3,tblGroupTieBreakRank[[#This Row],[Group_Code]]&amp;tblGroupTieBreakRank[[#This Row],[Rank Team 2]]&amp;tblGroupTieBreakRank[[#This Row],[Rank Team 3]],"")</f>
        <v/>
      </c>
      <c r="Q25"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5"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5"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5"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5"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5"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5" s="13">
        <f>SUM(tblGroupTieBreakRank[[#This Row],[Home Points Team 1]:[Away Points Team 1]])</f>
        <v>0</v>
      </c>
      <c r="X25" s="13">
        <f>SUM(tblGroupTieBreakRank[[#This Row],[Home Goals For Team 1]],tblGroupTieBreakRank[[#This Row],[Away Goals For Team 1]])</f>
        <v>0</v>
      </c>
      <c r="Y25" s="13">
        <f>SUM(tblGroupTieBreakRank[[#This Row],[Home Goals Against Team 1]],tblGroupTieBreakRank[[#This Row],[Away Goals Against Team 1]])</f>
        <v>0</v>
      </c>
      <c r="Z25" s="13">
        <f>tblGroupTieBreakRank[[#This Row],[Total Goals For Team 1]]-tblGroupTieBreakRank[[#This Row],[Total Goals Against Team 1]]</f>
        <v>0</v>
      </c>
      <c r="AA25"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5"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5"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5"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5"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5"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5" s="13">
        <f>SUM(tblGroupTieBreakRank[[#This Row],[Home Points Team 2]:[Away Points Team 2]])</f>
        <v>0</v>
      </c>
      <c r="AH25" s="13">
        <f>SUM(tblGroupTieBreakRank[[#This Row],[Home Goals For Team 2]],tblGroupTieBreakRank[[#This Row],[Away Goals For Team 2]])</f>
        <v>0</v>
      </c>
      <c r="AI25" s="13">
        <f>SUM(tblGroupTieBreakRank[[#This Row],[Home Goals Against Team 2]],tblGroupTieBreakRank[[#This Row],[Away Goals Against Team 2]])</f>
        <v>0</v>
      </c>
      <c r="AJ25" s="13">
        <f>tblGroupTieBreakRank[[#This Row],[Total Goals For Team 2]]-tblGroupTieBreakRank[[#This Row],[Total Goals Against Team 2]]</f>
        <v>0</v>
      </c>
      <c r="AK25"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5"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5"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5"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5"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5"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5" s="13">
        <f>SUM(tblGroupTieBreakRank[[#This Row],[Home Points Team 3]:[Away Points Team 3]])</f>
        <v>0</v>
      </c>
      <c r="AR25" s="13">
        <f>SUM(tblGroupTieBreakRank[[#This Row],[Home Goals For Team 3]],tblGroupTieBreakRank[[#This Row],[Away Goals For Team 3]])</f>
        <v>0</v>
      </c>
      <c r="AS25" s="13">
        <f>SUM(tblGroupTieBreakRank[[#This Row],[Home Goals Against Team 3]],tblGroupTieBreakRank[[#This Row],[Away Goals Against Team 3]])</f>
        <v>0</v>
      </c>
      <c r="AT25" s="13">
        <f>tblGroupTieBreakRank[[#This Row],[Total Goals For Team 3]]-tblGroupTieBreakRank[[#This Row],[Total Goals Against Team 3]]</f>
        <v>0</v>
      </c>
    </row>
    <row r="26" spans="2:46" x14ac:dyDescent="0.25">
      <c r="B26" s="1" t="s">
        <v>32</v>
      </c>
      <c r="C26" s="1">
        <v>4</v>
      </c>
      <c r="D26" s="13">
        <f>COUNTIFS(tblGroupTotals[Group_Code],tblGroupTieBreakRank[[#This Row],[Group_Code]],tblGroupTotals[Group_Points_Rank],tblGroupTieBreakRank[[#This Row],[Point_Rank]])</f>
        <v>0</v>
      </c>
      <c r="E26" s="13" t="str">
        <f>IF(AND(tblGroupTieBreakRank[[#This Row],[Count]]&gt;1,tblGroupTieBreakRank[[#This Row],[Count]]&lt;4),tblGroupTieBreakRank[[#This Row],[Point_Rank]],"")</f>
        <v/>
      </c>
      <c r="F26" s="13" t="str">
        <f>IF(AND(tblGroupTieBreakRank[[#This Row],[Count]]&gt;1,tblGroupTieBreakRank[[#This Row],[Count]]&lt;4),tblGroupTieBreakRank[[#This Row],[Group_Code]]&amp;tblGroupTieBreakRank[[#This Row],[Point_Rank]],"")</f>
        <v/>
      </c>
      <c r="G26" s="13" t="str">
        <f>IFERROR(INDEX(tblGroupTotals[],MATCH(tblGroupTieBreakRank[[#This Row],[Group_Code]]&amp;tblGroupTieBreakRank[[#This Row],[Point_Rank]]&amp;"1",tblGroupTotals[Group_Points_Rank_Code],0),MATCH("Group_Number",tblGroupTotals[#Headers],0)),"")</f>
        <v/>
      </c>
      <c r="H26" s="13" t="str">
        <f>IFERROR(INDEX(tblGroupTotals[],MATCH(tblGroupTieBreakRank[[#This Row],[Group_Code]]&amp;tblGroupTieBreakRank[[#This Row],[Point_Rank]]&amp;"2",tblGroupTotals[Group_Points_Rank_Code],0),MATCH("Group_Number",tblGroupTotals[#Headers],0)),"")</f>
        <v/>
      </c>
      <c r="I26" s="13" t="str">
        <f>IFERROR(INDEX(tblGroupTotals[],MATCH(tblGroupTieBreakRank[[#This Row],[Group_Code]]&amp;tblGroupTieBreakRank[[#This Row],[Point_Rank]]&amp;"3",tblGroupTotals[Group_Points_Rank_Code],0),MATCH("Group_Number",tblGroupTotals[#Headers],0)),"")</f>
        <v/>
      </c>
      <c r="J26" s="13" t="str">
        <f>IFERROR(INDEX(tblGroupTotals[],MATCH(tblGroupTieBreakRank[[#This Row],[Group_Code]]&amp;tblGroupTieBreakRank[[#This Row],[Point_Rank]]&amp;"4",tblGroupTotals[Group_Points_Rank_Code],0),MATCH("Group_Number",tblGroupTotals[#Headers],0)),"")</f>
        <v/>
      </c>
      <c r="K26"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6"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6" s="13" t="str">
        <f>IF(tblGroupTieBreakRank[[#This Row],[Count]]&gt;=3,IF(AND(LEN(tblGroupTieBreakRank[[#This Row],[Team 3]])&gt;0,tblGroupTieBreakRank[[#This Row],[Team 3]]&lt;&gt;tblGroupTieBreakRank[[#This Row],[Rank Team 2]]),tblGroupTieBreakRank[[#This Row],[Team 3]],tblGroupTieBreakRank[[#This Row],[Team 4]]),"")</f>
        <v/>
      </c>
      <c r="N26" s="13" t="str">
        <f>IF(OR(tblGroupTieBreakRank[[#This Row],[Count]]=2,tblGroupTieBreakRank[[#This Row],[Count]]=3),tblGroupTieBreakRank[[#This Row],[Group_Code]]&amp;tblGroupTieBreakRank[[#This Row],[Rank Team 1]]&amp;tblGroupTieBreakRank[[#This Row],[Rank Team 2]],"")</f>
        <v/>
      </c>
      <c r="O26" s="13" t="str">
        <f>IF(tblGroupTieBreakRank[[#This Row],[Count]]=3,tblGroupTieBreakRank[[#This Row],[Group_Code]]&amp;tblGroupTieBreakRank[[#This Row],[Rank Team 1]]&amp;tblGroupTieBreakRank[[#This Row],[Rank Team 3]],"")</f>
        <v/>
      </c>
      <c r="P26" s="13" t="str">
        <f>IF(tblGroupTieBreakRank[[#This Row],[Count]]=3,tblGroupTieBreakRank[[#This Row],[Group_Code]]&amp;tblGroupTieBreakRank[[#This Row],[Rank Team 2]]&amp;tblGroupTieBreakRank[[#This Row],[Rank Team 3]],"")</f>
        <v/>
      </c>
      <c r="Q26"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6"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6"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6"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6"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6"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6" s="13">
        <f>SUM(tblGroupTieBreakRank[[#This Row],[Home Points Team 1]:[Away Points Team 1]])</f>
        <v>0</v>
      </c>
      <c r="X26" s="13">
        <f>SUM(tblGroupTieBreakRank[[#This Row],[Home Goals For Team 1]],tblGroupTieBreakRank[[#This Row],[Away Goals For Team 1]])</f>
        <v>0</v>
      </c>
      <c r="Y26" s="13">
        <f>SUM(tblGroupTieBreakRank[[#This Row],[Home Goals Against Team 1]],tblGroupTieBreakRank[[#This Row],[Away Goals Against Team 1]])</f>
        <v>0</v>
      </c>
      <c r="Z26" s="13">
        <f>tblGroupTieBreakRank[[#This Row],[Total Goals For Team 1]]-tblGroupTieBreakRank[[#This Row],[Total Goals Against Team 1]]</f>
        <v>0</v>
      </c>
      <c r="AA26"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6"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6"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6"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6"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6"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6" s="13">
        <f>SUM(tblGroupTieBreakRank[[#This Row],[Home Points Team 2]:[Away Points Team 2]])</f>
        <v>0</v>
      </c>
      <c r="AH26" s="13">
        <f>SUM(tblGroupTieBreakRank[[#This Row],[Home Goals For Team 2]],tblGroupTieBreakRank[[#This Row],[Away Goals For Team 2]])</f>
        <v>0</v>
      </c>
      <c r="AI26" s="13">
        <f>SUM(tblGroupTieBreakRank[[#This Row],[Home Goals Against Team 2]],tblGroupTieBreakRank[[#This Row],[Away Goals Against Team 2]])</f>
        <v>0</v>
      </c>
      <c r="AJ26" s="13">
        <f>tblGroupTieBreakRank[[#This Row],[Total Goals For Team 2]]-tblGroupTieBreakRank[[#This Row],[Total Goals Against Team 2]]</f>
        <v>0</v>
      </c>
      <c r="AK26"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6"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6"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6"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6"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6"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6" s="13">
        <f>SUM(tblGroupTieBreakRank[[#This Row],[Home Points Team 3]:[Away Points Team 3]])</f>
        <v>0</v>
      </c>
      <c r="AR26" s="13">
        <f>SUM(tblGroupTieBreakRank[[#This Row],[Home Goals For Team 3]],tblGroupTieBreakRank[[#This Row],[Away Goals For Team 3]])</f>
        <v>0</v>
      </c>
      <c r="AS26" s="13">
        <f>SUM(tblGroupTieBreakRank[[#This Row],[Home Goals Against Team 3]],tblGroupTieBreakRank[[#This Row],[Away Goals Against Team 3]])</f>
        <v>0</v>
      </c>
      <c r="AT26" s="13">
        <f>tblGroupTieBreakRank[[#This Row],[Total Goals For Team 3]]-tblGroupTieBreakRank[[#This Row],[Total Goals Against Team 3]]</f>
        <v>0</v>
      </c>
    </row>
  </sheetData>
  <phoneticPr fontId="2"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65158-3B47-47A0-B015-391164EDC33F}">
  <dimension ref="B2:O66"/>
  <sheetViews>
    <sheetView zoomScale="85" zoomScaleNormal="85" workbookViewId="0">
      <selection activeCell="J51" sqref="J51"/>
    </sheetView>
  </sheetViews>
  <sheetFormatPr defaultRowHeight="15" x14ac:dyDescent="0.25"/>
  <cols>
    <col min="2" max="2" width="12.85546875" style="1" bestFit="1" customWidth="1"/>
    <col min="3" max="3" width="16.7109375" style="1" bestFit="1" customWidth="1"/>
    <col min="4" max="4" width="15.5703125" style="1" bestFit="1" customWidth="1"/>
    <col min="5" max="5" width="16.140625" style="1" bestFit="1" customWidth="1"/>
    <col min="6" max="6" width="19.5703125" style="1" bestFit="1" customWidth="1"/>
    <col min="7" max="7" width="19.5703125" style="1" customWidth="1"/>
    <col min="8" max="8" width="16.5703125" style="1" bestFit="1" customWidth="1"/>
    <col min="9" max="9" width="26" style="1" bestFit="1" customWidth="1"/>
    <col min="10" max="10" width="20" style="1" bestFit="1" customWidth="1"/>
    <col min="11" max="11" width="16.7109375" bestFit="1" customWidth="1"/>
    <col min="12" max="12" width="25.7109375" bestFit="1" customWidth="1"/>
    <col min="13" max="13" width="20.28515625" bestFit="1" customWidth="1"/>
    <col min="14" max="14" width="19.85546875" bestFit="1" customWidth="1"/>
    <col min="15" max="15" width="19.28515625" bestFit="1" customWidth="1"/>
  </cols>
  <sheetData>
    <row r="2" spans="2:15" x14ac:dyDescent="0.25">
      <c r="B2" s="1" t="s">
        <v>26</v>
      </c>
    </row>
    <row r="3" spans="2:15" x14ac:dyDescent="0.25">
      <c r="B3" s="1" t="s">
        <v>286</v>
      </c>
      <c r="C3" s="1" t="s">
        <v>40</v>
      </c>
      <c r="D3" s="1" t="s">
        <v>240</v>
      </c>
      <c r="E3" s="1" t="s">
        <v>285</v>
      </c>
      <c r="F3" s="1" t="s">
        <v>35</v>
      </c>
      <c r="G3" s="1" t="s">
        <v>191</v>
      </c>
      <c r="H3" s="1" t="s">
        <v>212</v>
      </c>
      <c r="I3" s="1" t="s">
        <v>288</v>
      </c>
      <c r="J3" s="1" t="s">
        <v>213</v>
      </c>
      <c r="K3" s="1" t="s">
        <v>289</v>
      </c>
      <c r="L3" s="1" t="s">
        <v>290</v>
      </c>
      <c r="M3" s="1" t="s">
        <v>291</v>
      </c>
      <c r="N3" s="1" t="s">
        <v>292</v>
      </c>
      <c r="O3" s="1" t="s">
        <v>293</v>
      </c>
    </row>
    <row r="4" spans="2:15" x14ac:dyDescent="0.25">
      <c r="B4" s="1">
        <v>1</v>
      </c>
      <c r="C4" s="1" t="s">
        <v>26</v>
      </c>
      <c r="D4" s="1">
        <f>_xlfn.MINIFS(tblGroupTieBreakRank[Point_Rank_TRUE],tblGroupTieBreakRank[Group_Code],tblTieBreakA1[[#This Row],[Group_Code]])</f>
        <v>0</v>
      </c>
      <c r="E4" s="1" t="e">
        <f>INDEX(tblGroupTieBreakRank[],MATCH(tblTieBreakA1[[#This Row],[Group_Code]]&amp;tblTieBreakA1[[#This Row],[Point_Rank]],tblGroupTieBreakRank[Rank_Code],0),MATCH("Count",tblGroupTieBreakRank[#Headers],0))</f>
        <v>#N/A</v>
      </c>
      <c r="F4" s="1" t="e">
        <f>INDEX(tblGroupTieBreakRank[],MATCH(tblTieBreakA1[[#This Row],[Group_Code]]&amp;tblTieBreakA1[[#This Row],[Point_Rank]],tblGroupTieBreakRank[Rank_Code],0),MATCH("Rank Team 1",tblGroupTieBreakRank[#Headers],0))</f>
        <v>#N/A</v>
      </c>
      <c r="G4" s="1" t="e">
        <f>IF(LEN(tblTieBreakA1[[#This Row],[Group_Number]])&gt;0,tblTieBreakA1[[#This Row],[Group_Code]]&amp;tblTieBreakA1[[#This Row],[Group_Number]],"")</f>
        <v>#N/A</v>
      </c>
      <c r="H4" s="1" t="e">
        <f>INDEX(tblGroupTieBreakRank[],MATCH(tblTieBreakA1[[#This Row],[Group_Code]]&amp;tblTieBreakA1[[#This Row],[Point_Rank]],tblGroupTieBreakRank[Rank_Code],0),MATCH("Total Points Team 1",tblGroupTieBreakRank[#Headers],0))</f>
        <v>#N/A</v>
      </c>
      <c r="I4" s="1" t="e">
        <f>INDEX(tblGroupTieBreakRank[],MATCH(tblTieBreakA1[[#This Row],[Group_Code]]&amp;tblTieBreakA1[[#This Row],[Point_Rank]],tblGroupTieBreakRank[Rank_Code],0),MATCH("Total Goal Difference Team 1",tblGroupTieBreakRank[#Headers],0))</f>
        <v>#N/A</v>
      </c>
      <c r="J4" s="1" t="e">
        <f>INDEX(tblGroupTieBreakRank[],MATCH(tblTieBreakA1[[#This Row],[Group_Code]]&amp;tblTieBreakA1[[#This Row],[Point_Rank]],tblGroupTieBreakRank[Rank_Code],0),MATCH("Total Goals For Team 1",tblGroupTieBreakRank[#Headers],0))</f>
        <v>#N/A</v>
      </c>
      <c r="K4" s="1" t="e" cm="1">
        <f t="array" ref="K4">SUMPRODUCT((tblTieBreakA1[[#This Row],[Group_Code]]=tblTieBreakA1[Group_Code])*(tblTieBreakA1[[#This Row],[Total_Points]]&lt;tblTieBreakA1[Total_Points]))+1</f>
        <v>#N/A</v>
      </c>
      <c r="L4" s="1" t="e" cm="1">
        <f t="array" ref="L4">SUMPRODUCT((tblTieBreakA1[[#This Row],[Group_Code]]=tblTieBreakA1[Group_Code])*(tblTieBreakA1[[#This Row],[Total_Goal_Difference]]&lt;tblTieBreakA1[Total_Goal_Difference]))+1</f>
        <v>#N/A</v>
      </c>
      <c r="M4" s="1" t="e" cm="1">
        <f t="array" ref="M4">SUMPRODUCT((tblTieBreakA1[[#This Row],[Group_Code]]=tblTieBreakA1[Group_Code])*(tblTieBreakA1[[#This Row],[Total_Goals_For]]&lt;tblTieBreakA1[Total_Goals_For]))+1</f>
        <v>#N/A</v>
      </c>
      <c r="N4" s="1" t="e">
        <f>VALUE(IF(LEN(tblTieBreakA1[[#This Row],[Group_Number]])&gt;0,1,2)&amp;tblTieBreakA1[[#This Row],[Rank_Points]]&amp;tblTieBreakA1[[#This Row],[Rank_Goal_Difference]]&amp;tblTieBreakA1[[#This Row],[Rank_Goals_For]])</f>
        <v>#N/A</v>
      </c>
      <c r="O4" s="1" t="e" cm="1">
        <f t="array" ref="O4">SUMPRODUCT((tblTieBreakA1[[#This Row],[Group_Code]]=tblTieBreakA1[Group_Code])*(tblTieBreakA1[[#This Row],[Rank_All_Value]]&gt;tblTieBreakA1[Rank_All_Value]))+1</f>
        <v>#N/A</v>
      </c>
    </row>
    <row r="5" spans="2:15" x14ac:dyDescent="0.25">
      <c r="B5" s="1">
        <v>2</v>
      </c>
      <c r="C5" s="1" t="s">
        <v>26</v>
      </c>
      <c r="D5" s="1">
        <f>_xlfn.MINIFS(tblGroupTieBreakRank[Point_Rank_TRUE],tblGroupTieBreakRank[Group_Code],tblTieBreakA1[[#This Row],[Group_Code]])</f>
        <v>0</v>
      </c>
      <c r="E5" s="1" t="e">
        <f>INDEX(tblGroupTieBreakRank[],MATCH(tblTieBreakA1[[#This Row],[Group_Code]]&amp;tblTieBreakA1[[#This Row],[Point_Rank]],tblGroupTieBreakRank[Rank_Code],0),MATCH("Count",tblGroupTieBreakRank[#Headers],0))</f>
        <v>#N/A</v>
      </c>
      <c r="F5" s="1" t="e">
        <f>INDEX(tblGroupTieBreakRank[],MATCH(tblTieBreakA1[[#This Row],[Group_Code]]&amp;tblTieBreakA1[[#This Row],[Point_Rank]],tblGroupTieBreakRank[Rank_Code],0),MATCH("Rank Team 2",tblGroupTieBreakRank[#Headers],0))</f>
        <v>#N/A</v>
      </c>
      <c r="G5" s="1" t="e">
        <f>IF(LEN(tblTieBreakA1[[#This Row],[Group_Number]])&gt;0,tblTieBreakA1[[#This Row],[Group_Code]]&amp;tblTieBreakA1[[#This Row],[Group_Number]],"")</f>
        <v>#N/A</v>
      </c>
      <c r="H5" s="1" t="e">
        <f>INDEX(tblGroupTieBreakRank[],MATCH(tblTieBreakA1[[#This Row],[Group_Code]]&amp;tblTieBreakA1[[#This Row],[Point_Rank]],tblGroupTieBreakRank[Rank_Code],0),MATCH("Total Points Team 2",tblGroupTieBreakRank[#Headers],0))</f>
        <v>#N/A</v>
      </c>
      <c r="I5" s="1" t="e">
        <f>INDEX(tblGroupTieBreakRank[],MATCH(tblTieBreakA1[[#This Row],[Group_Code]]&amp;tblTieBreakA1[[#This Row],[Point_Rank]],tblGroupTieBreakRank[Rank_Code],0),MATCH("Total Goal Difference Team 2",tblGroupTieBreakRank[#Headers],0))</f>
        <v>#N/A</v>
      </c>
      <c r="J5" s="1" t="e">
        <f>INDEX(tblGroupTieBreakRank[],MATCH(tblTieBreakA1[[#This Row],[Group_Code]]&amp;tblTieBreakA1[[#This Row],[Point_Rank]],tblGroupTieBreakRank[Rank_Code],0),MATCH("Total Goals For Team 2",tblGroupTieBreakRank[#Headers],0))</f>
        <v>#N/A</v>
      </c>
      <c r="K5" s="1" t="e" cm="1">
        <f t="array" ref="K5">SUMPRODUCT((tblTieBreakA1[[#This Row],[Group_Code]]=tblTieBreakA1[Group_Code])*(tblTieBreakA1[[#This Row],[Total_Points]]&lt;tblTieBreakA1[Total_Points]))+1</f>
        <v>#N/A</v>
      </c>
      <c r="L5" s="1" t="e" cm="1">
        <f t="array" ref="L5">SUMPRODUCT((tblTieBreakA1[[#This Row],[Group_Code]]=tblTieBreakA1[Group_Code])*(tblTieBreakA1[[#This Row],[Total_Goal_Difference]]&lt;tblTieBreakA1[Total_Goal_Difference]))+1</f>
        <v>#N/A</v>
      </c>
      <c r="M5" s="1" t="e" cm="1">
        <f t="array" ref="M5">SUMPRODUCT((tblTieBreakA1[[#This Row],[Group_Code]]=tblTieBreakA1[Group_Code])*(tblTieBreakA1[[#This Row],[Total_Goals_For]]&lt;tblTieBreakA1[Total_Goals_For]))+1</f>
        <v>#N/A</v>
      </c>
      <c r="N5" s="1" t="e">
        <f>VALUE(IF(LEN(tblTieBreakA1[[#This Row],[Group_Number]])&gt;0,1,2)&amp;tblTieBreakA1[[#This Row],[Rank_Points]]&amp;tblTieBreakA1[[#This Row],[Rank_Goal_Difference]]&amp;tblTieBreakA1[[#This Row],[Rank_Goals_For]])</f>
        <v>#N/A</v>
      </c>
      <c r="O5" s="1" t="e" cm="1">
        <f t="array" ref="O5">SUMPRODUCT((tblTieBreakA1[[#This Row],[Group_Code]]=tblTieBreakA1[Group_Code])*(tblTieBreakA1[[#This Row],[Rank_All_Value]]&gt;tblTieBreakA1[Rank_All_Value]))+1</f>
        <v>#N/A</v>
      </c>
    </row>
    <row r="6" spans="2:15" x14ac:dyDescent="0.25">
      <c r="B6" s="1">
        <v>3</v>
      </c>
      <c r="C6" s="1" t="s">
        <v>26</v>
      </c>
      <c r="D6" s="1">
        <f>_xlfn.MINIFS(tblGroupTieBreakRank[Point_Rank_TRUE],tblGroupTieBreakRank[Group_Code],tblTieBreakA1[[#This Row],[Group_Code]])</f>
        <v>0</v>
      </c>
      <c r="E6" s="1" t="e">
        <f>INDEX(tblGroupTieBreakRank[],MATCH(tblTieBreakA1[[#This Row],[Group_Code]]&amp;tblTieBreakA1[[#This Row],[Point_Rank]],tblGroupTieBreakRank[Rank_Code],0),MATCH("Count",tblGroupTieBreakRank[#Headers],0))</f>
        <v>#N/A</v>
      </c>
      <c r="F6" s="1" t="e">
        <f>IF(tblTieBreakA1[[#This Row],[Rank_Count]]=3,INDEX(tblGroupTieBreakRank[],MATCH(tblTieBreakA1[[#This Row],[Group_Code]]&amp;tblTieBreakA1[[#This Row],[Point_Rank]],tblGroupTieBreakRank[Rank_Code],0),MATCH("Rank Team 3",tblGroupTieBreakRank[#Headers],0)),"")</f>
        <v>#N/A</v>
      </c>
      <c r="G6" s="1" t="e">
        <f>IF(LEN(tblTieBreakA1[[#This Row],[Group_Number]])&gt;0,tblTieBreakA1[[#This Row],[Group_Code]]&amp;tblTieBreakA1[[#This Row],[Group_Number]],"")</f>
        <v>#N/A</v>
      </c>
      <c r="H6" s="1" t="e">
        <f>IF(tblTieBreakA1[[#This Row],[Rank_Count]]=3,INDEX(tblGroupTieBreakRank[],MATCH(tblTieBreakA1[[#This Row],[Group_Code]]&amp;tblTieBreakA1[[#This Row],[Point_Rank]],tblGroupTieBreakRank[Rank_Code],0),MATCH("Total Points Team 3",tblGroupTieBreakRank[#Headers],0)),"")</f>
        <v>#N/A</v>
      </c>
      <c r="I6" s="1" t="e">
        <f>IF(tblTieBreakA1[[#This Row],[Rank_Count]]=3,INDEX(tblGroupTieBreakRank[],MATCH(tblTieBreakA1[[#This Row],[Group_Code]]&amp;tblTieBreakA1[[#This Row],[Point_Rank]],tblGroupTieBreakRank[Rank_Code],0),MATCH("Total Goal Difference Team 3",tblGroupTieBreakRank[#Headers],0)),"")</f>
        <v>#N/A</v>
      </c>
      <c r="J6" s="1" t="e">
        <f>IF(tblTieBreakA1[[#This Row],[Rank_Count]]=3,INDEX(tblGroupTieBreakRank[],MATCH(tblTieBreakA1[[#This Row],[Group_Code]]&amp;tblTieBreakA1[[#This Row],[Point_Rank]],tblGroupTieBreakRank[Rank_Code],0),MATCH("Total Goals For Team 3",tblGroupTieBreakRank[#Headers],0)),"")</f>
        <v>#N/A</v>
      </c>
      <c r="K6" s="1" t="e" cm="1">
        <f t="array" ref="K6">SUMPRODUCT((tblTieBreakA1[[#This Row],[Group_Code]]=tblTieBreakA1[Group_Code])*(tblTieBreakA1[[#This Row],[Total_Points]]&lt;tblTieBreakA1[Total_Points]))+1</f>
        <v>#N/A</v>
      </c>
      <c r="L6" s="1" t="e" cm="1">
        <f t="array" ref="L6">SUMPRODUCT((tblTieBreakA1[[#This Row],[Group_Code]]=tblTieBreakA1[Group_Code])*(tblTieBreakA1[[#This Row],[Total_Goal_Difference]]&lt;tblTieBreakA1[Total_Goal_Difference]))+1</f>
        <v>#N/A</v>
      </c>
      <c r="M6" s="1" t="e" cm="1">
        <f t="array" ref="M6">SUMPRODUCT((tblTieBreakA1[[#This Row],[Group_Code]]=tblTieBreakA1[Group_Code])*(tblTieBreakA1[[#This Row],[Total_Goals_For]]&lt;tblTieBreakA1[Total_Goals_For]))+1</f>
        <v>#N/A</v>
      </c>
      <c r="N6" s="1" t="e">
        <f>VALUE(IF(LEN(tblTieBreakA1[[#This Row],[Group_Number]])&gt;0,1,2)&amp;tblTieBreakA1[[#This Row],[Rank_Points]]&amp;tblTieBreakA1[[#This Row],[Rank_Goal_Difference]]&amp;tblTieBreakA1[[#This Row],[Rank_Goals_For]])</f>
        <v>#N/A</v>
      </c>
      <c r="O6" s="1" t="e" cm="1">
        <f t="array" ref="O6">SUMPRODUCT((tblTieBreakA1[[#This Row],[Group_Code]]=tblTieBreakA1[Group_Code])*(tblTieBreakA1[[#This Row],[Rank_All_Value]]&gt;tblTieBreakA1[Rank_All_Value]))+1</f>
        <v>#N/A</v>
      </c>
    </row>
    <row r="8" spans="2:15" x14ac:dyDescent="0.25">
      <c r="B8" s="1" t="s">
        <v>286</v>
      </c>
      <c r="C8" s="1" t="s">
        <v>40</v>
      </c>
      <c r="D8" s="1" t="s">
        <v>240</v>
      </c>
      <c r="E8" s="1" t="s">
        <v>285</v>
      </c>
      <c r="F8" s="1" t="s">
        <v>35</v>
      </c>
      <c r="G8" s="1" t="s">
        <v>191</v>
      </c>
      <c r="H8" s="1" t="s">
        <v>212</v>
      </c>
      <c r="I8" s="1" t="s">
        <v>288</v>
      </c>
      <c r="J8" s="1" t="s">
        <v>213</v>
      </c>
      <c r="K8" s="1" t="s">
        <v>289</v>
      </c>
      <c r="L8" s="1" t="s">
        <v>290</v>
      </c>
      <c r="M8" s="1" t="s">
        <v>291</v>
      </c>
      <c r="N8" s="1" t="s">
        <v>292</v>
      </c>
      <c r="O8" s="1" t="s">
        <v>293</v>
      </c>
    </row>
    <row r="9" spans="2:15" x14ac:dyDescent="0.25">
      <c r="B9" s="1">
        <v>1</v>
      </c>
      <c r="C9" s="1" t="s">
        <v>26</v>
      </c>
      <c r="D9" s="1">
        <f>_xlfn.MAXIFS(tblGroupTieBreakRank[Point_Rank_TRUE],tblGroupTieBreakRank[Group_Code],tblTieBreakA2[[#This Row],[Group_Code]])</f>
        <v>0</v>
      </c>
      <c r="E9" s="1" t="e">
        <f>INDEX(tblGroupTieBreakRank[],MATCH(tblTieBreakA2[[#This Row],[Group_Code]]&amp;tblTieBreakA2[[#This Row],[Point_Rank]],tblGroupTieBreakRank[Rank_Code],0),MATCH("Count",tblGroupTieBreakRank[#Headers],0))</f>
        <v>#N/A</v>
      </c>
      <c r="F9" s="1" t="e">
        <f>INDEX(tblGroupTieBreakRank[],MATCH(tblTieBreakA2[[#This Row],[Group_Code]]&amp;tblTieBreakA2[[#This Row],[Point_Rank]],tblGroupTieBreakRank[Rank_Code],0),MATCH("Rank Team 1",tblGroupTieBreakRank[#Headers],0))</f>
        <v>#N/A</v>
      </c>
      <c r="G9" s="1" t="e">
        <f>IF(LEN(tblTieBreakA2[[#This Row],[Group_Number]])&gt;0,tblTieBreakA2[[#This Row],[Group_Code]]&amp;tblTieBreakA2[[#This Row],[Group_Number]],"")</f>
        <v>#N/A</v>
      </c>
      <c r="H9" s="1" t="e">
        <f>INDEX(tblGroupTieBreakRank[],MATCH(tblTieBreakA2[[#This Row],[Group_Code]]&amp;tblTieBreakA2[[#This Row],[Point_Rank]],tblGroupTieBreakRank[Rank_Code],0),MATCH("Total Points Team 1",tblGroupTieBreakRank[#Headers],0))</f>
        <v>#N/A</v>
      </c>
      <c r="I9" s="1" t="e">
        <f>INDEX(tblGroupTieBreakRank[],MATCH(tblTieBreakA2[[#This Row],[Group_Code]]&amp;tblTieBreakA2[[#This Row],[Point_Rank]],tblGroupTieBreakRank[Rank_Code],0),MATCH("Total Goal Difference Team 1",tblGroupTieBreakRank[#Headers],0))</f>
        <v>#N/A</v>
      </c>
      <c r="J9" s="1" t="e">
        <f>INDEX(tblGroupTieBreakRank[],MATCH(tblTieBreakA2[[#This Row],[Group_Code]]&amp;tblTieBreakA2[[#This Row],[Point_Rank]],tblGroupTieBreakRank[Rank_Code],0),MATCH("Total Goals For Team 1",tblGroupTieBreakRank[#Headers],0))</f>
        <v>#N/A</v>
      </c>
      <c r="K9" s="1" t="e" cm="1">
        <f t="array" ref="K9">SUMPRODUCT((tblTieBreakA2[[#This Row],[Group_Code]]=tblTieBreakA2[Group_Code])*(tblTieBreakA2[[#This Row],[Total_Points]]&lt;tblTieBreakA2[Total_Points]))+1</f>
        <v>#N/A</v>
      </c>
      <c r="L9" s="1" t="e" cm="1">
        <f t="array" ref="L9">SUMPRODUCT((tblTieBreakA2[[#This Row],[Group_Code]]=tblTieBreakA2[Group_Code])*(tblTieBreakA2[[#This Row],[Total_Goal_Difference]]&lt;tblTieBreakA2[Total_Goal_Difference]))+1</f>
        <v>#N/A</v>
      </c>
      <c r="M9" s="1" t="e" cm="1">
        <f t="array" ref="M9">SUMPRODUCT((tblTieBreakA2[[#This Row],[Group_Code]]=tblTieBreakA2[Group_Code])*(tblTieBreakA2[[#This Row],[Total_Goals_For]]&lt;tblTieBreakA2[Total_Goals_For]))+1</f>
        <v>#N/A</v>
      </c>
      <c r="N9" s="1" t="e">
        <f>VALUE(IF(LEN(tblTieBreakA2[[#This Row],[Group_Number]])&gt;0,1,2)&amp;tblTieBreakA2[[#This Row],[Rank_Points]]&amp;tblTieBreakA2[[#This Row],[Rank_Goal_Difference]]&amp;tblTieBreakA2[[#This Row],[Rank_Goals_For]])</f>
        <v>#N/A</v>
      </c>
      <c r="O9" s="1" t="e" cm="1">
        <f t="array" ref="O9">SUMPRODUCT((tblTieBreakA2[[#This Row],[Group_Code]]=tblTieBreakA2[Group_Code])*(tblTieBreakA2[[#This Row],[Rank_All_Value]]&gt;tblTieBreakA2[Rank_All_Value]))+1</f>
        <v>#N/A</v>
      </c>
    </row>
    <row r="10" spans="2:15" x14ac:dyDescent="0.25">
      <c r="B10" s="1">
        <v>2</v>
      </c>
      <c r="C10" s="1" t="s">
        <v>26</v>
      </c>
      <c r="D10" s="1">
        <f>_xlfn.MAXIFS(tblGroupTieBreakRank[Point_Rank_TRUE],tblGroupTieBreakRank[Group_Code],tblTieBreakA2[[#This Row],[Group_Code]])</f>
        <v>0</v>
      </c>
      <c r="E10" s="1" t="e">
        <f>INDEX(tblGroupTieBreakRank[],MATCH(tblTieBreakA2[[#This Row],[Group_Code]]&amp;tblTieBreakA2[[#This Row],[Point_Rank]],tblGroupTieBreakRank[Rank_Code],0),MATCH("Count",tblGroupTieBreakRank[#Headers],0))</f>
        <v>#N/A</v>
      </c>
      <c r="F10" s="1" t="e">
        <f>INDEX(tblGroupTieBreakRank[],MATCH(tblTieBreakA2[[#This Row],[Group_Code]]&amp;tblTieBreakA2[[#This Row],[Point_Rank]],tblGroupTieBreakRank[Rank_Code],0),MATCH("Rank Team 2",tblGroupTieBreakRank[#Headers],0))</f>
        <v>#N/A</v>
      </c>
      <c r="G10" s="1" t="e">
        <f>IF(LEN(tblTieBreakA2[[#This Row],[Group_Number]])&gt;0,tblTieBreakA2[[#This Row],[Group_Code]]&amp;tblTieBreakA2[[#This Row],[Group_Number]],"")</f>
        <v>#N/A</v>
      </c>
      <c r="H10" s="1" t="e">
        <f>INDEX(tblGroupTieBreakRank[],MATCH(tblTieBreakA2[[#This Row],[Group_Code]]&amp;tblTieBreakA2[[#This Row],[Point_Rank]],tblGroupTieBreakRank[Rank_Code],0),MATCH("Total Points Team 2",tblGroupTieBreakRank[#Headers],0))</f>
        <v>#N/A</v>
      </c>
      <c r="I10" s="1" t="e">
        <f>INDEX(tblGroupTieBreakRank[],MATCH(tblTieBreakA2[[#This Row],[Group_Code]]&amp;tblTieBreakA2[[#This Row],[Point_Rank]],tblGroupTieBreakRank[Rank_Code],0),MATCH("Total Goal Difference Team 2",tblGroupTieBreakRank[#Headers],0))</f>
        <v>#N/A</v>
      </c>
      <c r="J10" s="1" t="e">
        <f>INDEX(tblGroupTieBreakRank[],MATCH(tblTieBreakA2[[#This Row],[Group_Code]]&amp;tblTieBreakA2[[#This Row],[Point_Rank]],tblGroupTieBreakRank[Rank_Code],0),MATCH("Total Goals For Team 2",tblGroupTieBreakRank[#Headers],0))</f>
        <v>#N/A</v>
      </c>
      <c r="K10" s="1" t="e" cm="1">
        <f t="array" ref="K10">SUMPRODUCT((tblTieBreakA2[[#This Row],[Group_Code]]=tblTieBreakA2[Group_Code])*(tblTieBreakA2[[#This Row],[Total_Points]]&lt;tblTieBreakA2[Total_Points]))+1</f>
        <v>#N/A</v>
      </c>
      <c r="L10" s="1" t="e" cm="1">
        <f t="array" ref="L10">SUMPRODUCT((tblTieBreakA2[[#This Row],[Group_Code]]=tblTieBreakA2[Group_Code])*(tblTieBreakA2[[#This Row],[Total_Goal_Difference]]&lt;tblTieBreakA2[Total_Goal_Difference]))+1</f>
        <v>#N/A</v>
      </c>
      <c r="M10" s="1" t="e" cm="1">
        <f t="array" ref="M10">SUMPRODUCT((tblTieBreakA2[[#This Row],[Group_Code]]=tblTieBreakA2[Group_Code])*(tblTieBreakA2[[#This Row],[Total_Goals_For]]&lt;tblTieBreakA2[Total_Goals_For]))+1</f>
        <v>#N/A</v>
      </c>
      <c r="N10" s="1" t="e">
        <f>VALUE(IF(LEN(tblTieBreakA2[[#This Row],[Group_Number]])&gt;0,1,2)&amp;tblTieBreakA2[[#This Row],[Rank_Points]]&amp;tblTieBreakA2[[#This Row],[Rank_Goal_Difference]]&amp;tblTieBreakA2[[#This Row],[Rank_Goals_For]])</f>
        <v>#N/A</v>
      </c>
      <c r="O10" s="1" t="e" cm="1">
        <f t="array" ref="O10">SUMPRODUCT((tblTieBreakA2[[#This Row],[Group_Code]]=tblTieBreakA2[Group_Code])*(tblTieBreakA2[[#This Row],[Rank_All_Value]]&gt;tblTieBreakA2[Rank_All_Value]))+1</f>
        <v>#N/A</v>
      </c>
    </row>
    <row r="11" spans="2:15" x14ac:dyDescent="0.25">
      <c r="B11" s="1">
        <v>3</v>
      </c>
      <c r="C11" s="1" t="s">
        <v>26</v>
      </c>
      <c r="D11" s="1">
        <f>_xlfn.MAXIFS(tblGroupTieBreakRank[Point_Rank_TRUE],tblGroupTieBreakRank[Group_Code],tblTieBreakA2[[#This Row],[Group_Code]])</f>
        <v>0</v>
      </c>
      <c r="E11" s="1" t="e">
        <f>INDEX(tblGroupTieBreakRank[],MATCH(tblTieBreakA2[[#This Row],[Group_Code]]&amp;tblTieBreakA2[[#This Row],[Point_Rank]],tblGroupTieBreakRank[Rank_Code],0),MATCH("Count",tblGroupTieBreakRank[#Headers],0))</f>
        <v>#N/A</v>
      </c>
      <c r="F11" s="1" t="e">
        <f>IF(tblTieBreakA2[[#This Row],[Rank_Count]]=3,INDEX(tblGroupTieBreakRank[],MATCH(tblTieBreakA2[[#This Row],[Group_Code]]&amp;tblTieBreakA2[[#This Row],[Point_Rank]],tblGroupTieBreakRank[Rank_Code],0),MATCH("Rank Team 3",tblGroupTieBreakRank[#Headers],0)),"")</f>
        <v>#N/A</v>
      </c>
      <c r="G11" s="1" t="e">
        <f>IF(LEN(tblTieBreakA2[[#This Row],[Group_Number]])&gt;0,tblTieBreakA2[[#This Row],[Group_Code]]&amp;tblTieBreakA2[[#This Row],[Group_Number]],"")</f>
        <v>#N/A</v>
      </c>
      <c r="H11" s="1" t="e">
        <f>IF(tblTieBreakA2[[#This Row],[Rank_Count]]=3,INDEX(tblGroupTieBreakRank[],MATCH(tblTieBreakA2[[#This Row],[Group_Code]]&amp;tblTieBreakA2[[#This Row],[Point_Rank]],tblGroupTieBreakRank[Rank_Code],0),MATCH("Total Points Team 3",tblGroupTieBreakRank[#Headers],0)),"")</f>
        <v>#N/A</v>
      </c>
      <c r="I11" s="1" t="e">
        <f>IF(tblTieBreakA2[[#This Row],[Rank_Count]]=3,INDEX(tblGroupTieBreakRank[],MATCH(tblTieBreakA2[[#This Row],[Group_Code]]&amp;tblTieBreakA2[[#This Row],[Point_Rank]],tblGroupTieBreakRank[Rank_Code],0),MATCH("Total Goal Difference Team 3",tblGroupTieBreakRank[#Headers],0)),"")</f>
        <v>#N/A</v>
      </c>
      <c r="J11" s="1" t="e">
        <f>IF(tblTieBreakA2[[#This Row],[Rank_Count]]=3,INDEX(tblGroupTieBreakRank[],MATCH(tblTieBreakA2[[#This Row],[Group_Code]]&amp;tblTieBreakA2[[#This Row],[Point_Rank]],tblGroupTieBreakRank[Rank_Code],0),MATCH("Total Goals For Team 3",tblGroupTieBreakRank[#Headers],0)),"")</f>
        <v>#N/A</v>
      </c>
      <c r="K11" s="1" t="e" cm="1">
        <f t="array" ref="K11">SUMPRODUCT((tblTieBreakA2[[#This Row],[Group_Code]]=tblTieBreakA2[Group_Code])*(tblTieBreakA2[[#This Row],[Total_Points]]&lt;tblTieBreakA2[Total_Points]))+1</f>
        <v>#N/A</v>
      </c>
      <c r="L11" s="1" t="e" cm="1">
        <f t="array" ref="L11">SUMPRODUCT((tblTieBreakA2[[#This Row],[Group_Code]]=tblTieBreakA2[Group_Code])*(tblTieBreakA2[[#This Row],[Total_Goal_Difference]]&lt;tblTieBreakA2[Total_Goal_Difference]))+1</f>
        <v>#N/A</v>
      </c>
      <c r="M11" s="1" t="e" cm="1">
        <f t="array" ref="M11">SUMPRODUCT((tblTieBreakA2[[#This Row],[Group_Code]]=tblTieBreakA2[Group_Code])*(tblTieBreakA2[[#This Row],[Total_Goals_For]]&lt;tblTieBreakA2[Total_Goals_For]))+1</f>
        <v>#N/A</v>
      </c>
      <c r="N11" s="1" t="e">
        <f>VALUE(IF(LEN(tblTieBreakA2[[#This Row],[Group_Number]])&gt;0,1,2)&amp;tblTieBreakA2[[#This Row],[Rank_Points]]&amp;tblTieBreakA2[[#This Row],[Rank_Goal_Difference]]&amp;tblTieBreakA2[[#This Row],[Rank_Goals_For]])</f>
        <v>#N/A</v>
      </c>
      <c r="O11" s="1" t="e" cm="1">
        <f t="array" ref="O11">SUMPRODUCT((tblTieBreakA2[[#This Row],[Group_Code]]=tblTieBreakA2[Group_Code])*(tblTieBreakA2[[#This Row],[Rank_All_Value]]&gt;tblTieBreakA2[Rank_All_Value]))+1</f>
        <v>#N/A</v>
      </c>
    </row>
    <row r="13" spans="2:15" x14ac:dyDescent="0.25">
      <c r="B13" s="1" t="s">
        <v>30</v>
      </c>
    </row>
    <row r="14" spans="2:15" x14ac:dyDescent="0.25">
      <c r="B14" s="1" t="s">
        <v>286</v>
      </c>
      <c r="C14" s="1" t="s">
        <v>40</v>
      </c>
      <c r="D14" s="1" t="s">
        <v>240</v>
      </c>
      <c r="E14" s="1" t="s">
        <v>285</v>
      </c>
      <c r="F14" s="1" t="s">
        <v>35</v>
      </c>
      <c r="G14" s="1" t="s">
        <v>191</v>
      </c>
      <c r="H14" s="1" t="s">
        <v>212</v>
      </c>
      <c r="I14" s="1" t="s">
        <v>288</v>
      </c>
      <c r="J14" s="1" t="s">
        <v>213</v>
      </c>
      <c r="K14" s="1" t="s">
        <v>289</v>
      </c>
      <c r="L14" s="1" t="s">
        <v>290</v>
      </c>
      <c r="M14" s="1" t="s">
        <v>291</v>
      </c>
      <c r="N14" s="1" t="s">
        <v>292</v>
      </c>
      <c r="O14" s="1" t="s">
        <v>293</v>
      </c>
    </row>
    <row r="15" spans="2:15" x14ac:dyDescent="0.25">
      <c r="B15" s="1">
        <v>1</v>
      </c>
      <c r="C15" s="1" t="s">
        <v>30</v>
      </c>
      <c r="D15" s="1">
        <f>_xlfn.MINIFS(tblGroupTieBreakRank[Point_Rank_TRUE],tblGroupTieBreakRank[Group_Code],tblTieBreakB1[[#This Row],[Group_Code]])</f>
        <v>0</v>
      </c>
      <c r="E15" s="1" t="e">
        <f>INDEX(tblGroupTieBreakRank[],MATCH(tblTieBreakB1[[#This Row],[Group_Code]]&amp;tblTieBreakB1[[#This Row],[Point_Rank]],tblGroupTieBreakRank[Rank_Code],0),MATCH("Count",tblGroupTieBreakRank[#Headers],0))</f>
        <v>#N/A</v>
      </c>
      <c r="F15" s="1" t="e">
        <f>INDEX(tblGroupTieBreakRank[],MATCH(tblTieBreakB1[[#This Row],[Group_Code]]&amp;tblTieBreakB1[[#This Row],[Point_Rank]],tblGroupTieBreakRank[Rank_Code],0),MATCH("Rank Team 1",tblGroupTieBreakRank[#Headers],0))</f>
        <v>#N/A</v>
      </c>
      <c r="G15" s="1" t="e">
        <f>IF(LEN(tblTieBreakB1[[#This Row],[Group_Number]])&gt;0,tblTieBreakB1[[#This Row],[Group_Code]]&amp;tblTieBreakB1[[#This Row],[Group_Number]],"")</f>
        <v>#N/A</v>
      </c>
      <c r="H15" s="1" t="e">
        <f>INDEX(tblGroupTieBreakRank[],MATCH(tblTieBreakB1[[#This Row],[Group_Code]]&amp;tblTieBreakB1[[#This Row],[Point_Rank]],tblGroupTieBreakRank[Rank_Code],0),MATCH("Total Points Team 1",tblGroupTieBreakRank[#Headers],0))</f>
        <v>#N/A</v>
      </c>
      <c r="I15" s="1" t="e">
        <f>INDEX(tblGroupTieBreakRank[],MATCH(tblTieBreakB1[[#This Row],[Group_Code]]&amp;tblTieBreakB1[[#This Row],[Point_Rank]],tblGroupTieBreakRank[Rank_Code],0),MATCH("Total Goal Difference Team 1",tblGroupTieBreakRank[#Headers],0))</f>
        <v>#N/A</v>
      </c>
      <c r="J15" s="1" t="e">
        <f>INDEX(tblGroupTieBreakRank[],MATCH(tblTieBreakB1[[#This Row],[Group_Code]]&amp;tblTieBreakB1[[#This Row],[Point_Rank]],tblGroupTieBreakRank[Rank_Code],0),MATCH("Total Goals For Team 1",tblGroupTieBreakRank[#Headers],0))</f>
        <v>#N/A</v>
      </c>
      <c r="K15" s="1" t="e" cm="1">
        <f t="array" ref="K15">SUMPRODUCT((tblTieBreakB1[[#This Row],[Group_Code]]=tblTieBreakB1[Group_Code])*(tblTieBreakB1[[#This Row],[Total_Points]]&lt;tblTieBreakB1[Total_Points]))+1</f>
        <v>#N/A</v>
      </c>
      <c r="L15" s="1" t="e" cm="1">
        <f t="array" ref="L15">SUMPRODUCT((tblTieBreakB1[[#This Row],[Group_Code]]=tblTieBreakB1[Group_Code])*(tblTieBreakB1[[#This Row],[Total_Goal_Difference]]&lt;tblTieBreakB1[Total_Goal_Difference]))+1</f>
        <v>#N/A</v>
      </c>
      <c r="M15" s="1" t="e" cm="1">
        <f t="array" ref="M15">SUMPRODUCT((tblTieBreakB1[[#This Row],[Group_Code]]=tblTieBreakB1[Group_Code])*(tblTieBreakB1[[#This Row],[Total_Goals_For]]&lt;tblTieBreakB1[Total_Goals_For]))+1</f>
        <v>#N/A</v>
      </c>
      <c r="N15" s="1" t="e">
        <f>VALUE(IF(LEN(tblTieBreakB1[[#This Row],[Group_Number]])&gt;0,1,2)&amp;tblTieBreakB1[[#This Row],[Rank_Points]]&amp;tblTieBreakB1[[#This Row],[Rank_Goal_Difference]]&amp;tblTieBreakB1[[#This Row],[Rank_Goals_For]])</f>
        <v>#N/A</v>
      </c>
      <c r="O15" s="1" t="e" cm="1">
        <f t="array" ref="O15">SUMPRODUCT((tblTieBreakB1[[#This Row],[Group_Code]]=tblTieBreakB1[Group_Code])*(tblTieBreakB1[[#This Row],[Rank_All_Value]]&gt;tblTieBreakB1[Rank_All_Value]))+1</f>
        <v>#N/A</v>
      </c>
    </row>
    <row r="16" spans="2:15" x14ac:dyDescent="0.25">
      <c r="B16" s="1">
        <v>2</v>
      </c>
      <c r="C16" s="1" t="s">
        <v>30</v>
      </c>
      <c r="D16" s="1">
        <f>_xlfn.MINIFS(tblGroupTieBreakRank[Point_Rank_TRUE],tblGroupTieBreakRank[Group_Code],tblTieBreakB1[[#This Row],[Group_Code]])</f>
        <v>0</v>
      </c>
      <c r="E16" s="1" t="e">
        <f>INDEX(tblGroupTieBreakRank[],MATCH(tblTieBreakB1[[#This Row],[Group_Code]]&amp;tblTieBreakB1[[#This Row],[Point_Rank]],tblGroupTieBreakRank[Rank_Code],0),MATCH("Count",tblGroupTieBreakRank[#Headers],0))</f>
        <v>#N/A</v>
      </c>
      <c r="F16" s="1" t="e">
        <f>INDEX(tblGroupTieBreakRank[],MATCH(tblTieBreakB1[[#This Row],[Group_Code]]&amp;tblTieBreakB1[[#This Row],[Point_Rank]],tblGroupTieBreakRank[Rank_Code],0),MATCH("Rank Team 2",tblGroupTieBreakRank[#Headers],0))</f>
        <v>#N/A</v>
      </c>
      <c r="G16" s="1" t="e">
        <f>IF(LEN(tblTieBreakB1[[#This Row],[Group_Number]])&gt;0,tblTieBreakB1[[#This Row],[Group_Code]]&amp;tblTieBreakB1[[#This Row],[Group_Number]],"")</f>
        <v>#N/A</v>
      </c>
      <c r="H16" s="1" t="e">
        <f>INDEX(tblGroupTieBreakRank[],MATCH(tblTieBreakB1[[#This Row],[Group_Code]]&amp;tblTieBreakB1[[#This Row],[Point_Rank]],tblGroupTieBreakRank[Rank_Code],0),MATCH("Total Points Team 2",tblGroupTieBreakRank[#Headers],0))</f>
        <v>#N/A</v>
      </c>
      <c r="I16" s="1" t="e">
        <f>INDEX(tblGroupTieBreakRank[],MATCH(tblTieBreakB1[[#This Row],[Group_Code]]&amp;tblTieBreakB1[[#This Row],[Point_Rank]],tblGroupTieBreakRank[Rank_Code],0),MATCH("Total Goal Difference Team 2",tblGroupTieBreakRank[#Headers],0))</f>
        <v>#N/A</v>
      </c>
      <c r="J16" s="1" t="e">
        <f>INDEX(tblGroupTieBreakRank[],MATCH(tblTieBreakB1[[#This Row],[Group_Code]]&amp;tblTieBreakB1[[#This Row],[Point_Rank]],tblGroupTieBreakRank[Rank_Code],0),MATCH("Total Goals For Team 2",tblGroupTieBreakRank[#Headers],0))</f>
        <v>#N/A</v>
      </c>
      <c r="K16" s="1" t="e" cm="1">
        <f t="array" ref="K16">SUMPRODUCT((tblTieBreakB1[[#This Row],[Group_Code]]=tblTieBreakB1[Group_Code])*(tblTieBreakB1[[#This Row],[Total_Points]]&lt;tblTieBreakB1[Total_Points]))+1</f>
        <v>#N/A</v>
      </c>
      <c r="L16" s="1" t="e" cm="1">
        <f t="array" ref="L16">SUMPRODUCT((tblTieBreakB1[[#This Row],[Group_Code]]=tblTieBreakB1[Group_Code])*(tblTieBreakB1[[#This Row],[Total_Goal_Difference]]&lt;tblTieBreakB1[Total_Goal_Difference]))+1</f>
        <v>#N/A</v>
      </c>
      <c r="M16" s="1" t="e" cm="1">
        <f t="array" ref="M16">SUMPRODUCT((tblTieBreakB1[[#This Row],[Group_Code]]=tblTieBreakB1[Group_Code])*(tblTieBreakB1[[#This Row],[Total_Goals_For]]&lt;tblTieBreakB1[Total_Goals_For]))+1</f>
        <v>#N/A</v>
      </c>
      <c r="N16" s="1" t="e">
        <f>VALUE(IF(LEN(tblTieBreakB1[[#This Row],[Group_Number]])&gt;0,1,2)&amp;tblTieBreakB1[[#This Row],[Rank_Points]]&amp;tblTieBreakB1[[#This Row],[Rank_Goal_Difference]]&amp;tblTieBreakB1[[#This Row],[Rank_Goals_For]])</f>
        <v>#N/A</v>
      </c>
      <c r="O16" s="1" t="e" cm="1">
        <f t="array" ref="O16">SUMPRODUCT((tblTieBreakB1[[#This Row],[Group_Code]]=tblTieBreakB1[Group_Code])*(tblTieBreakB1[[#This Row],[Rank_All_Value]]&gt;tblTieBreakB1[Rank_All_Value]))+1</f>
        <v>#N/A</v>
      </c>
    </row>
    <row r="17" spans="2:15" x14ac:dyDescent="0.25">
      <c r="B17" s="1">
        <v>3</v>
      </c>
      <c r="C17" s="1" t="s">
        <v>30</v>
      </c>
      <c r="D17" s="1">
        <f>_xlfn.MINIFS(tblGroupTieBreakRank[Point_Rank_TRUE],tblGroupTieBreakRank[Group_Code],tblTieBreakB1[[#This Row],[Group_Code]])</f>
        <v>0</v>
      </c>
      <c r="E17" s="1" t="e">
        <f>INDEX(tblGroupTieBreakRank[],MATCH(tblTieBreakB1[[#This Row],[Group_Code]]&amp;tblTieBreakB1[[#This Row],[Point_Rank]],tblGroupTieBreakRank[Rank_Code],0),MATCH("Count",tblGroupTieBreakRank[#Headers],0))</f>
        <v>#N/A</v>
      </c>
      <c r="F17" s="1" t="e">
        <f>IF(tblTieBreakB1[[#This Row],[Rank_Count]]=3,INDEX(tblGroupTieBreakRank[],MATCH(tblTieBreakB1[[#This Row],[Group_Code]]&amp;tblTieBreakB1[[#This Row],[Point_Rank]],tblGroupTieBreakRank[Rank_Code],0),MATCH("Rank Team 3",tblGroupTieBreakRank[#Headers],0)),"")</f>
        <v>#N/A</v>
      </c>
      <c r="G17" s="1" t="e">
        <f>IF(LEN(tblTieBreakB1[[#This Row],[Group_Number]])&gt;0,tblTieBreakB1[[#This Row],[Group_Code]]&amp;tblTieBreakB1[[#This Row],[Group_Number]],"")</f>
        <v>#N/A</v>
      </c>
      <c r="H17" s="1" t="e">
        <f>IF(tblTieBreakB1[[#This Row],[Rank_Count]]=3,INDEX(tblGroupTieBreakRank[],MATCH(tblTieBreakB1[[#This Row],[Group_Code]]&amp;tblTieBreakB1[[#This Row],[Point_Rank]],tblGroupTieBreakRank[Rank_Code],0),MATCH("Total Points Team 3",tblGroupTieBreakRank[#Headers],0)),"")</f>
        <v>#N/A</v>
      </c>
      <c r="I17" s="1" t="e">
        <f>IF(tblTieBreakB1[[#This Row],[Rank_Count]]=3,INDEX(tblGroupTieBreakRank[],MATCH(tblTieBreakB1[[#This Row],[Group_Code]]&amp;tblTieBreakB1[[#This Row],[Point_Rank]],tblGroupTieBreakRank[Rank_Code],0),MATCH("Total Goal Difference Team 3",tblGroupTieBreakRank[#Headers],0)),"")</f>
        <v>#N/A</v>
      </c>
      <c r="J17" s="1" t="e">
        <f>IF(tblTieBreakB1[[#This Row],[Rank_Count]]=3,INDEX(tblGroupTieBreakRank[],MATCH(tblTieBreakB1[[#This Row],[Group_Code]]&amp;tblTieBreakB1[[#This Row],[Point_Rank]],tblGroupTieBreakRank[Rank_Code],0),MATCH("Total Goals For Team 3",tblGroupTieBreakRank[#Headers],0)),"")</f>
        <v>#N/A</v>
      </c>
      <c r="K17" s="1" t="e" cm="1">
        <f t="array" ref="K17">SUMPRODUCT((tblTieBreakB1[[#This Row],[Group_Code]]=tblTieBreakB1[Group_Code])*(tblTieBreakB1[[#This Row],[Total_Points]]&lt;tblTieBreakB1[Total_Points]))+1</f>
        <v>#N/A</v>
      </c>
      <c r="L17" s="1" t="e" cm="1">
        <f t="array" ref="L17">SUMPRODUCT((tblTieBreakB1[[#This Row],[Group_Code]]=tblTieBreakB1[Group_Code])*(tblTieBreakB1[[#This Row],[Total_Goal_Difference]]&lt;tblTieBreakB1[Total_Goal_Difference]))+1</f>
        <v>#N/A</v>
      </c>
      <c r="M17" s="1" t="e" cm="1">
        <f t="array" ref="M17">SUMPRODUCT((tblTieBreakB1[[#This Row],[Group_Code]]=tblTieBreakB1[Group_Code])*(tblTieBreakB1[[#This Row],[Total_Goals_For]]&lt;tblTieBreakB1[Total_Goals_For]))+1</f>
        <v>#N/A</v>
      </c>
      <c r="N17" s="1" t="e">
        <f>VALUE(IF(LEN(tblTieBreakB1[[#This Row],[Group_Number]])&gt;0,1,2)&amp;tblTieBreakB1[[#This Row],[Rank_Points]]&amp;tblTieBreakB1[[#This Row],[Rank_Goal_Difference]]&amp;tblTieBreakB1[[#This Row],[Rank_Goals_For]])</f>
        <v>#N/A</v>
      </c>
      <c r="O17" s="1" t="e" cm="1">
        <f t="array" ref="O17">SUMPRODUCT((tblTieBreakB1[[#This Row],[Group_Code]]=tblTieBreakB1[Group_Code])*(tblTieBreakB1[[#This Row],[Rank_All_Value]]&gt;tblTieBreakB1[Rank_All_Value]))+1</f>
        <v>#N/A</v>
      </c>
    </row>
    <row r="19" spans="2:15" x14ac:dyDescent="0.25">
      <c r="B19" s="1" t="s">
        <v>286</v>
      </c>
      <c r="C19" s="1" t="s">
        <v>40</v>
      </c>
      <c r="D19" s="1" t="s">
        <v>240</v>
      </c>
      <c r="E19" s="1" t="s">
        <v>285</v>
      </c>
      <c r="F19" s="1" t="s">
        <v>35</v>
      </c>
      <c r="G19" s="1" t="s">
        <v>191</v>
      </c>
      <c r="H19" s="1" t="s">
        <v>212</v>
      </c>
      <c r="I19" s="1" t="s">
        <v>288</v>
      </c>
      <c r="J19" s="1" t="s">
        <v>213</v>
      </c>
      <c r="K19" s="1" t="s">
        <v>289</v>
      </c>
      <c r="L19" s="1" t="s">
        <v>290</v>
      </c>
      <c r="M19" s="1" t="s">
        <v>291</v>
      </c>
      <c r="N19" s="1" t="s">
        <v>292</v>
      </c>
      <c r="O19" s="1" t="s">
        <v>293</v>
      </c>
    </row>
    <row r="20" spans="2:15" x14ac:dyDescent="0.25">
      <c r="B20" s="1">
        <v>1</v>
      </c>
      <c r="C20" s="1" t="s">
        <v>30</v>
      </c>
      <c r="D20" s="1">
        <f>_xlfn.MAXIFS(tblGroupTieBreakRank[Point_Rank_TRUE],tblGroupTieBreakRank[Group_Code],tblTieBreakB2[[#This Row],[Group_Code]])</f>
        <v>0</v>
      </c>
      <c r="E20" s="1" t="e">
        <f>INDEX(tblGroupTieBreakRank[],MATCH(tblTieBreakB2[[#This Row],[Group_Code]]&amp;tblTieBreakB2[[#This Row],[Point_Rank]],tblGroupTieBreakRank[Rank_Code],0),MATCH("Count",tblGroupTieBreakRank[#Headers],0))</f>
        <v>#N/A</v>
      </c>
      <c r="F20" s="1" t="e">
        <f>INDEX(tblGroupTieBreakRank[],MATCH(tblTieBreakB2[[#This Row],[Group_Code]]&amp;tblTieBreakB2[[#This Row],[Point_Rank]],tblGroupTieBreakRank[Rank_Code],0),MATCH("Rank Team 1",tblGroupTieBreakRank[#Headers],0))</f>
        <v>#N/A</v>
      </c>
      <c r="G20" s="1" t="e">
        <f>IF(LEN(tblTieBreakB2[[#This Row],[Group_Number]])&gt;0,tblTieBreakB2[[#This Row],[Group_Code]]&amp;tblTieBreakB2[[#This Row],[Group_Number]],"")</f>
        <v>#N/A</v>
      </c>
      <c r="H20" s="1" t="e">
        <f>INDEX(tblGroupTieBreakRank[],MATCH(tblTieBreakB2[[#This Row],[Group_Code]]&amp;tblTieBreakB2[[#This Row],[Point_Rank]],tblGroupTieBreakRank[Rank_Code],0),MATCH("Total Points Team 1",tblGroupTieBreakRank[#Headers],0))</f>
        <v>#N/A</v>
      </c>
      <c r="I20" s="1" t="e">
        <f>INDEX(tblGroupTieBreakRank[],MATCH(tblTieBreakB2[[#This Row],[Group_Code]]&amp;tblTieBreakB2[[#This Row],[Point_Rank]],tblGroupTieBreakRank[Rank_Code],0),MATCH("Total Goal Difference Team 1",tblGroupTieBreakRank[#Headers],0))</f>
        <v>#N/A</v>
      </c>
      <c r="J20" s="1" t="e">
        <f>INDEX(tblGroupTieBreakRank[],MATCH(tblTieBreakB2[[#This Row],[Group_Code]]&amp;tblTieBreakB2[[#This Row],[Point_Rank]],tblGroupTieBreakRank[Rank_Code],0),MATCH("Total Goals For Team 1",tblGroupTieBreakRank[#Headers],0))</f>
        <v>#N/A</v>
      </c>
      <c r="K20" s="1" t="e" cm="1">
        <f t="array" ref="K20">SUMPRODUCT((tblTieBreakB2[[#This Row],[Group_Code]]=tblTieBreakB2[Group_Code])*(tblTieBreakB2[[#This Row],[Total_Points]]&lt;tblTieBreakB2[Total_Points]))+1</f>
        <v>#N/A</v>
      </c>
      <c r="L20" s="1" t="e" cm="1">
        <f t="array" ref="L20">SUMPRODUCT((tblTieBreakB2[[#This Row],[Group_Code]]=tblTieBreakB2[Group_Code])*(tblTieBreakB2[[#This Row],[Total_Goal_Difference]]&lt;tblTieBreakB2[Total_Goal_Difference]))+1</f>
        <v>#N/A</v>
      </c>
      <c r="M20" s="1" t="e" cm="1">
        <f t="array" ref="M20">SUMPRODUCT((tblTieBreakB2[[#This Row],[Group_Code]]=tblTieBreakB2[Group_Code])*(tblTieBreakB2[[#This Row],[Total_Goals_For]]&lt;tblTieBreakB2[Total_Goals_For]))+1</f>
        <v>#N/A</v>
      </c>
      <c r="N20" s="1" t="e">
        <f>VALUE(IF(LEN(tblTieBreakB2[[#This Row],[Group_Number]])&gt;0,1,2)&amp;tblTieBreakB2[[#This Row],[Rank_Points]]&amp;tblTieBreakB2[[#This Row],[Rank_Goal_Difference]]&amp;tblTieBreakB2[[#This Row],[Rank_Goals_For]])</f>
        <v>#N/A</v>
      </c>
      <c r="O20" s="1" t="e" cm="1">
        <f t="array" ref="O20">SUMPRODUCT((tblTieBreakB2[[#This Row],[Group_Code]]=tblTieBreakB2[Group_Code])*(tblTieBreakB2[[#This Row],[Rank_All_Value]]&gt;tblTieBreakB2[Rank_All_Value]))+1</f>
        <v>#N/A</v>
      </c>
    </row>
    <row r="21" spans="2:15" x14ac:dyDescent="0.25">
      <c r="B21" s="1">
        <v>2</v>
      </c>
      <c r="C21" s="1" t="s">
        <v>30</v>
      </c>
      <c r="D21" s="1">
        <f>_xlfn.MAXIFS(tblGroupTieBreakRank[Point_Rank_TRUE],tblGroupTieBreakRank[Group_Code],tblTieBreakB2[[#This Row],[Group_Code]])</f>
        <v>0</v>
      </c>
      <c r="E21" s="1" t="e">
        <f>INDEX(tblGroupTieBreakRank[],MATCH(tblTieBreakB2[[#This Row],[Group_Code]]&amp;tblTieBreakB2[[#This Row],[Point_Rank]],tblGroupTieBreakRank[Rank_Code],0),MATCH("Count",tblGroupTieBreakRank[#Headers],0))</f>
        <v>#N/A</v>
      </c>
      <c r="F21" s="1" t="e">
        <f>INDEX(tblGroupTieBreakRank[],MATCH(tblTieBreakB2[[#This Row],[Group_Code]]&amp;tblTieBreakB2[[#This Row],[Point_Rank]],tblGroupTieBreakRank[Rank_Code],0),MATCH("Rank Team 2",tblGroupTieBreakRank[#Headers],0))</f>
        <v>#N/A</v>
      </c>
      <c r="G21" s="1" t="e">
        <f>IF(LEN(tblTieBreakB2[[#This Row],[Group_Number]])&gt;0,tblTieBreakB2[[#This Row],[Group_Code]]&amp;tblTieBreakB2[[#This Row],[Group_Number]],"")</f>
        <v>#N/A</v>
      </c>
      <c r="H21" s="1" t="e">
        <f>INDEX(tblGroupTieBreakRank[],MATCH(tblTieBreakB2[[#This Row],[Group_Code]]&amp;tblTieBreakB2[[#This Row],[Point_Rank]],tblGroupTieBreakRank[Rank_Code],0),MATCH("Total Points Team 2",tblGroupTieBreakRank[#Headers],0))</f>
        <v>#N/A</v>
      </c>
      <c r="I21" s="1" t="e">
        <f>INDEX(tblGroupTieBreakRank[],MATCH(tblTieBreakB2[[#This Row],[Group_Code]]&amp;tblTieBreakB2[[#This Row],[Point_Rank]],tblGroupTieBreakRank[Rank_Code],0),MATCH("Total Goal Difference Team 2",tblGroupTieBreakRank[#Headers],0))</f>
        <v>#N/A</v>
      </c>
      <c r="J21" s="1" t="e">
        <f>INDEX(tblGroupTieBreakRank[],MATCH(tblTieBreakB2[[#This Row],[Group_Code]]&amp;tblTieBreakB2[[#This Row],[Point_Rank]],tblGroupTieBreakRank[Rank_Code],0),MATCH("Total Goals For Team 2",tblGroupTieBreakRank[#Headers],0))</f>
        <v>#N/A</v>
      </c>
      <c r="K21" s="1" t="e" cm="1">
        <f t="array" ref="K21">SUMPRODUCT((tblTieBreakB2[[#This Row],[Group_Code]]=tblTieBreakB2[Group_Code])*(tblTieBreakB2[[#This Row],[Total_Points]]&lt;tblTieBreakB2[Total_Points]))+1</f>
        <v>#N/A</v>
      </c>
      <c r="L21" s="1" t="e" cm="1">
        <f t="array" ref="L21">SUMPRODUCT((tblTieBreakB2[[#This Row],[Group_Code]]=tblTieBreakB2[Group_Code])*(tblTieBreakB2[[#This Row],[Total_Goal_Difference]]&lt;tblTieBreakB2[Total_Goal_Difference]))+1</f>
        <v>#N/A</v>
      </c>
      <c r="M21" s="1" t="e" cm="1">
        <f t="array" ref="M21">SUMPRODUCT((tblTieBreakB2[[#This Row],[Group_Code]]=tblTieBreakB2[Group_Code])*(tblTieBreakB2[[#This Row],[Total_Goals_For]]&lt;tblTieBreakB2[Total_Goals_For]))+1</f>
        <v>#N/A</v>
      </c>
      <c r="N21" s="1" t="e">
        <f>VALUE(IF(LEN(tblTieBreakB2[[#This Row],[Group_Number]])&gt;0,1,2)&amp;tblTieBreakB2[[#This Row],[Rank_Points]]&amp;tblTieBreakB2[[#This Row],[Rank_Goal_Difference]]&amp;tblTieBreakB2[[#This Row],[Rank_Goals_For]])</f>
        <v>#N/A</v>
      </c>
      <c r="O21" s="1" t="e" cm="1">
        <f t="array" ref="O21">SUMPRODUCT((tblTieBreakB2[[#This Row],[Group_Code]]=tblTieBreakB2[Group_Code])*(tblTieBreakB2[[#This Row],[Rank_All_Value]]&gt;tblTieBreakB2[Rank_All_Value]))+1</f>
        <v>#N/A</v>
      </c>
    </row>
    <row r="22" spans="2:15" x14ac:dyDescent="0.25">
      <c r="B22" s="1">
        <v>3</v>
      </c>
      <c r="C22" s="1" t="s">
        <v>30</v>
      </c>
      <c r="D22" s="1">
        <f>_xlfn.MAXIFS(tblGroupTieBreakRank[Point_Rank_TRUE],tblGroupTieBreakRank[Group_Code],tblTieBreakB2[[#This Row],[Group_Code]])</f>
        <v>0</v>
      </c>
      <c r="E22" s="1" t="e">
        <f>INDEX(tblGroupTieBreakRank[],MATCH(tblTieBreakB2[[#This Row],[Group_Code]]&amp;tblTieBreakB2[[#This Row],[Point_Rank]],tblGroupTieBreakRank[Rank_Code],0),MATCH("Count",tblGroupTieBreakRank[#Headers],0))</f>
        <v>#N/A</v>
      </c>
      <c r="F22" s="1" t="e">
        <f>IF(tblTieBreakB2[[#This Row],[Rank_Count]]=3,INDEX(tblGroupTieBreakRank[],MATCH(tblTieBreakB2[[#This Row],[Group_Code]]&amp;tblTieBreakB2[[#This Row],[Point_Rank]],tblGroupTieBreakRank[Rank_Code],0),MATCH("Rank Team 3",tblGroupTieBreakRank[#Headers],0)),"")</f>
        <v>#N/A</v>
      </c>
      <c r="G22" s="1" t="e">
        <f>IF(LEN(tblTieBreakB2[[#This Row],[Group_Number]])&gt;0,tblTieBreakB2[[#This Row],[Group_Code]]&amp;tblTieBreakB2[[#This Row],[Group_Number]],"")</f>
        <v>#N/A</v>
      </c>
      <c r="H22" s="1" t="e">
        <f>IF(tblTieBreakB2[[#This Row],[Rank_Count]]=3,INDEX(tblGroupTieBreakRank[],MATCH(tblTieBreakB2[[#This Row],[Group_Code]]&amp;tblTieBreakB2[[#This Row],[Point_Rank]],tblGroupTieBreakRank[Rank_Code],0),MATCH("Total Points Team 3",tblGroupTieBreakRank[#Headers],0)),"")</f>
        <v>#N/A</v>
      </c>
      <c r="I22" s="1" t="e">
        <f>IF(tblTieBreakB2[[#This Row],[Rank_Count]]=3,INDEX(tblGroupTieBreakRank[],MATCH(tblTieBreakB2[[#This Row],[Group_Code]]&amp;tblTieBreakB2[[#This Row],[Point_Rank]],tblGroupTieBreakRank[Rank_Code],0),MATCH("Total Goal Difference Team 3",tblGroupTieBreakRank[#Headers],0)),"")</f>
        <v>#N/A</v>
      </c>
      <c r="J22" s="1" t="e">
        <f>IF(tblTieBreakB2[[#This Row],[Rank_Count]]=3,INDEX(tblGroupTieBreakRank[],MATCH(tblTieBreakB2[[#This Row],[Group_Code]]&amp;tblTieBreakB2[[#This Row],[Point_Rank]],tblGroupTieBreakRank[Rank_Code],0),MATCH("Total Goals For Team 3",tblGroupTieBreakRank[#Headers],0)),"")</f>
        <v>#N/A</v>
      </c>
      <c r="K22" s="1" t="e" cm="1">
        <f t="array" ref="K22">SUMPRODUCT((tblTieBreakB2[[#This Row],[Group_Code]]=tblTieBreakB2[Group_Code])*(tblTieBreakB2[[#This Row],[Total_Points]]&lt;tblTieBreakB2[Total_Points]))+1</f>
        <v>#N/A</v>
      </c>
      <c r="L22" s="1" t="e" cm="1">
        <f t="array" ref="L22">SUMPRODUCT((tblTieBreakB2[[#This Row],[Group_Code]]=tblTieBreakB2[Group_Code])*(tblTieBreakB2[[#This Row],[Total_Goal_Difference]]&lt;tblTieBreakB2[Total_Goal_Difference]))+1</f>
        <v>#N/A</v>
      </c>
      <c r="M22" s="1" t="e" cm="1">
        <f t="array" ref="M22">SUMPRODUCT((tblTieBreakB2[[#This Row],[Group_Code]]=tblTieBreakB2[Group_Code])*(tblTieBreakB2[[#This Row],[Total_Goals_For]]&lt;tblTieBreakB2[Total_Goals_For]))+1</f>
        <v>#N/A</v>
      </c>
      <c r="N22" s="1" t="e">
        <f>VALUE(IF(LEN(tblTieBreakB2[[#This Row],[Group_Number]])&gt;0,1,2)&amp;tblTieBreakB2[[#This Row],[Rank_Points]]&amp;tblTieBreakB2[[#This Row],[Rank_Goal_Difference]]&amp;tblTieBreakB2[[#This Row],[Rank_Goals_For]])</f>
        <v>#N/A</v>
      </c>
      <c r="O22" s="1" t="e" cm="1">
        <f t="array" ref="O22">SUMPRODUCT((tblTieBreakB2[[#This Row],[Group_Code]]=tblTieBreakB2[Group_Code])*(tblTieBreakB2[[#This Row],[Rank_All_Value]]&gt;tblTieBreakB2[Rank_All_Value]))+1</f>
        <v>#N/A</v>
      </c>
    </row>
    <row r="24" spans="2:15" x14ac:dyDescent="0.25">
      <c r="B24" s="1" t="s">
        <v>33</v>
      </c>
    </row>
    <row r="25" spans="2:15" x14ac:dyDescent="0.25">
      <c r="B25" s="1" t="s">
        <v>286</v>
      </c>
      <c r="C25" s="1" t="s">
        <v>40</v>
      </c>
      <c r="D25" s="1" t="s">
        <v>240</v>
      </c>
      <c r="E25" s="1" t="s">
        <v>285</v>
      </c>
      <c r="F25" s="1" t="s">
        <v>35</v>
      </c>
      <c r="G25" s="1" t="s">
        <v>191</v>
      </c>
      <c r="H25" s="1" t="s">
        <v>212</v>
      </c>
      <c r="I25" s="1" t="s">
        <v>288</v>
      </c>
      <c r="J25" s="1" t="s">
        <v>213</v>
      </c>
      <c r="K25" s="1" t="s">
        <v>289</v>
      </c>
      <c r="L25" s="1" t="s">
        <v>290</v>
      </c>
      <c r="M25" s="1" t="s">
        <v>291</v>
      </c>
      <c r="N25" s="1" t="s">
        <v>292</v>
      </c>
      <c r="O25" s="1" t="s">
        <v>293</v>
      </c>
    </row>
    <row r="26" spans="2:15" x14ac:dyDescent="0.25">
      <c r="B26" s="1">
        <v>1</v>
      </c>
      <c r="C26" s="1" t="s">
        <v>33</v>
      </c>
      <c r="D26" s="1">
        <f>_xlfn.MINIFS(tblGroupTieBreakRank[Point_Rank_TRUE],tblGroupTieBreakRank[Group_Code],tblTieBreakC1[[#This Row],[Group_Code]])</f>
        <v>0</v>
      </c>
      <c r="E26" s="1" t="e">
        <f>INDEX(tblGroupTieBreakRank[],MATCH(tblTieBreakC1[[#This Row],[Group_Code]]&amp;tblTieBreakC1[[#This Row],[Point_Rank]],tblGroupTieBreakRank[Rank_Code],0),MATCH("Count",tblGroupTieBreakRank[#Headers],0))</f>
        <v>#N/A</v>
      </c>
      <c r="F26" s="1" t="e">
        <f>INDEX(tblGroupTieBreakRank[],MATCH(tblTieBreakC1[[#This Row],[Group_Code]]&amp;tblTieBreakC1[[#This Row],[Point_Rank]],tblGroupTieBreakRank[Rank_Code],0),MATCH("Rank Team 1",tblGroupTieBreakRank[#Headers],0))</f>
        <v>#N/A</v>
      </c>
      <c r="G26" s="1" t="e">
        <f>IF(LEN(tblTieBreakC1[[#This Row],[Group_Number]])&gt;0,tblTieBreakC1[[#This Row],[Group_Code]]&amp;tblTieBreakC1[[#This Row],[Group_Number]],"")</f>
        <v>#N/A</v>
      </c>
      <c r="H26" s="1" t="e">
        <f>INDEX(tblGroupTieBreakRank[],MATCH(tblTieBreakC1[[#This Row],[Group_Code]]&amp;tblTieBreakC1[[#This Row],[Point_Rank]],tblGroupTieBreakRank[Rank_Code],0),MATCH("Total Points Team 1",tblGroupTieBreakRank[#Headers],0))</f>
        <v>#N/A</v>
      </c>
      <c r="I26" s="1" t="e">
        <f>INDEX(tblGroupTieBreakRank[],MATCH(tblTieBreakC1[[#This Row],[Group_Code]]&amp;tblTieBreakC1[[#This Row],[Point_Rank]],tblGroupTieBreakRank[Rank_Code],0),MATCH("Total Goal Difference Team 1",tblGroupTieBreakRank[#Headers],0))</f>
        <v>#N/A</v>
      </c>
      <c r="J26" s="1" t="e">
        <f>INDEX(tblGroupTieBreakRank[],MATCH(tblTieBreakC1[[#This Row],[Group_Code]]&amp;tblTieBreakC1[[#This Row],[Point_Rank]],tblGroupTieBreakRank[Rank_Code],0),MATCH("Total Goals For Team 1",tblGroupTieBreakRank[#Headers],0))</f>
        <v>#N/A</v>
      </c>
      <c r="K26" s="1" t="e" cm="1">
        <f t="array" ref="K26">SUMPRODUCT((tblTieBreakC1[[#This Row],[Group_Code]]=tblTieBreakC1[Group_Code])*(tblTieBreakC1[[#This Row],[Total_Points]]&lt;tblTieBreakC1[Total_Points]))+1</f>
        <v>#N/A</v>
      </c>
      <c r="L26" s="1" t="e" cm="1">
        <f t="array" ref="L26">SUMPRODUCT((tblTieBreakC1[[#This Row],[Group_Code]]=tblTieBreakC1[Group_Code])*(tblTieBreakC1[[#This Row],[Total_Goal_Difference]]&lt;tblTieBreakC1[Total_Goal_Difference]))+1</f>
        <v>#N/A</v>
      </c>
      <c r="M26" s="1" t="e" cm="1">
        <f t="array" ref="M26">SUMPRODUCT((tblTieBreakC1[[#This Row],[Group_Code]]=tblTieBreakC1[Group_Code])*(tblTieBreakC1[[#This Row],[Total_Goals_For]]&lt;tblTieBreakC1[Total_Goals_For]))+1</f>
        <v>#N/A</v>
      </c>
      <c r="N26" s="1" t="e">
        <f>VALUE(IF(LEN(tblTieBreakC1[[#This Row],[Group_Number]])&gt;0,1,2)&amp;tblTieBreakC1[[#This Row],[Rank_Points]]&amp;tblTieBreakC1[[#This Row],[Rank_Goal_Difference]]&amp;tblTieBreakC1[[#This Row],[Rank_Goals_For]])</f>
        <v>#N/A</v>
      </c>
      <c r="O26" s="1" t="e" cm="1">
        <f t="array" ref="O26">SUMPRODUCT((tblTieBreakC1[[#This Row],[Group_Code]]=tblTieBreakC1[Group_Code])*(tblTieBreakC1[[#This Row],[Rank_All_Value]]&gt;tblTieBreakC1[Rank_All_Value]))+1</f>
        <v>#N/A</v>
      </c>
    </row>
    <row r="27" spans="2:15" x14ac:dyDescent="0.25">
      <c r="B27" s="1">
        <v>2</v>
      </c>
      <c r="C27" s="1" t="s">
        <v>33</v>
      </c>
      <c r="D27" s="1">
        <f>_xlfn.MINIFS(tblGroupTieBreakRank[Point_Rank_TRUE],tblGroupTieBreakRank[Group_Code],tblTieBreakC1[[#This Row],[Group_Code]])</f>
        <v>0</v>
      </c>
      <c r="E27" s="1" t="e">
        <f>INDEX(tblGroupTieBreakRank[],MATCH(tblTieBreakC1[[#This Row],[Group_Code]]&amp;tblTieBreakC1[[#This Row],[Point_Rank]],tblGroupTieBreakRank[Rank_Code],0),MATCH("Count",tblGroupTieBreakRank[#Headers],0))</f>
        <v>#N/A</v>
      </c>
      <c r="F27" s="1" t="e">
        <f>INDEX(tblGroupTieBreakRank[],MATCH(tblTieBreakC1[[#This Row],[Group_Code]]&amp;tblTieBreakC1[[#This Row],[Point_Rank]],tblGroupTieBreakRank[Rank_Code],0),MATCH("Rank Team 2",tblGroupTieBreakRank[#Headers],0))</f>
        <v>#N/A</v>
      </c>
      <c r="G27" s="1" t="e">
        <f>IF(LEN(tblTieBreakC1[[#This Row],[Group_Number]])&gt;0,tblTieBreakC1[[#This Row],[Group_Code]]&amp;tblTieBreakC1[[#This Row],[Group_Number]],"")</f>
        <v>#N/A</v>
      </c>
      <c r="H27" s="1" t="e">
        <f>INDEX(tblGroupTieBreakRank[],MATCH(tblTieBreakC1[[#This Row],[Group_Code]]&amp;tblTieBreakC1[[#This Row],[Point_Rank]],tblGroupTieBreakRank[Rank_Code],0),MATCH("Total Points Team 2",tblGroupTieBreakRank[#Headers],0))</f>
        <v>#N/A</v>
      </c>
      <c r="I27" s="1" t="e">
        <f>INDEX(tblGroupTieBreakRank[],MATCH(tblTieBreakC1[[#This Row],[Group_Code]]&amp;tblTieBreakC1[[#This Row],[Point_Rank]],tblGroupTieBreakRank[Rank_Code],0),MATCH("Total Goal Difference Team 2",tblGroupTieBreakRank[#Headers],0))</f>
        <v>#N/A</v>
      </c>
      <c r="J27" s="1" t="e">
        <f>INDEX(tblGroupTieBreakRank[],MATCH(tblTieBreakC1[[#This Row],[Group_Code]]&amp;tblTieBreakC1[[#This Row],[Point_Rank]],tblGroupTieBreakRank[Rank_Code],0),MATCH("Total Goals For Team 2",tblGroupTieBreakRank[#Headers],0))</f>
        <v>#N/A</v>
      </c>
      <c r="K27" s="1" t="e" cm="1">
        <f t="array" ref="K27">SUMPRODUCT((tblTieBreakC1[[#This Row],[Group_Code]]=tblTieBreakC1[Group_Code])*(tblTieBreakC1[[#This Row],[Total_Points]]&lt;tblTieBreakC1[Total_Points]))+1</f>
        <v>#N/A</v>
      </c>
      <c r="L27" s="1" t="e" cm="1">
        <f t="array" ref="L27">SUMPRODUCT((tblTieBreakC1[[#This Row],[Group_Code]]=tblTieBreakC1[Group_Code])*(tblTieBreakC1[[#This Row],[Total_Goal_Difference]]&lt;tblTieBreakC1[Total_Goal_Difference]))+1</f>
        <v>#N/A</v>
      </c>
      <c r="M27" s="1" t="e" cm="1">
        <f t="array" ref="M27">SUMPRODUCT((tblTieBreakC1[[#This Row],[Group_Code]]=tblTieBreakC1[Group_Code])*(tblTieBreakC1[[#This Row],[Total_Goals_For]]&lt;tblTieBreakC1[Total_Goals_For]))+1</f>
        <v>#N/A</v>
      </c>
      <c r="N27" s="1" t="e">
        <f>VALUE(IF(LEN(tblTieBreakC1[[#This Row],[Group_Number]])&gt;0,1,2)&amp;tblTieBreakC1[[#This Row],[Rank_Points]]&amp;tblTieBreakC1[[#This Row],[Rank_Goal_Difference]]&amp;tblTieBreakC1[[#This Row],[Rank_Goals_For]])</f>
        <v>#N/A</v>
      </c>
      <c r="O27" s="1" t="e" cm="1">
        <f t="array" ref="O27">SUMPRODUCT((tblTieBreakC1[[#This Row],[Group_Code]]=tblTieBreakC1[Group_Code])*(tblTieBreakC1[[#This Row],[Rank_All_Value]]&gt;tblTieBreakC1[Rank_All_Value]))+1</f>
        <v>#N/A</v>
      </c>
    </row>
    <row r="28" spans="2:15" x14ac:dyDescent="0.25">
      <c r="B28" s="1">
        <v>3</v>
      </c>
      <c r="C28" s="1" t="s">
        <v>33</v>
      </c>
      <c r="D28" s="1">
        <f>_xlfn.MINIFS(tblGroupTieBreakRank[Point_Rank_TRUE],tblGroupTieBreakRank[Group_Code],tblTieBreakC1[[#This Row],[Group_Code]])</f>
        <v>0</v>
      </c>
      <c r="E28" s="1" t="e">
        <f>INDEX(tblGroupTieBreakRank[],MATCH(tblTieBreakC1[[#This Row],[Group_Code]]&amp;tblTieBreakC1[[#This Row],[Point_Rank]],tblGroupTieBreakRank[Rank_Code],0),MATCH("Count",tblGroupTieBreakRank[#Headers],0))</f>
        <v>#N/A</v>
      </c>
      <c r="F28" s="1" t="e">
        <f>IF(tblTieBreakC1[[#This Row],[Rank_Count]]=3,INDEX(tblGroupTieBreakRank[],MATCH(tblTieBreakC1[[#This Row],[Group_Code]]&amp;tblTieBreakC1[[#This Row],[Point_Rank]],tblGroupTieBreakRank[Rank_Code],0),MATCH("Rank Team 3",tblGroupTieBreakRank[#Headers],0)),"")</f>
        <v>#N/A</v>
      </c>
      <c r="G28" s="1" t="e">
        <f>IF(LEN(tblTieBreakC1[[#This Row],[Group_Number]])&gt;0,tblTieBreakC1[[#This Row],[Group_Code]]&amp;tblTieBreakC1[[#This Row],[Group_Number]],"")</f>
        <v>#N/A</v>
      </c>
      <c r="H28" s="1" t="e">
        <f>IF(tblTieBreakC1[[#This Row],[Rank_Count]]=3,INDEX(tblGroupTieBreakRank[],MATCH(tblTieBreakC1[[#This Row],[Group_Code]]&amp;tblTieBreakC1[[#This Row],[Point_Rank]],tblGroupTieBreakRank[Rank_Code],0),MATCH("Total Points Team 3",tblGroupTieBreakRank[#Headers],0)),"")</f>
        <v>#N/A</v>
      </c>
      <c r="I28" s="1" t="e">
        <f>IF(tblTieBreakC1[[#This Row],[Rank_Count]]=3,INDEX(tblGroupTieBreakRank[],MATCH(tblTieBreakC1[[#This Row],[Group_Code]]&amp;tblTieBreakC1[[#This Row],[Point_Rank]],tblGroupTieBreakRank[Rank_Code],0),MATCH("Total Goal Difference Team 3",tblGroupTieBreakRank[#Headers],0)),"")</f>
        <v>#N/A</v>
      </c>
      <c r="J28" s="1" t="e">
        <f>IF(tblTieBreakC1[[#This Row],[Rank_Count]]=3,INDEX(tblGroupTieBreakRank[],MATCH(tblTieBreakC1[[#This Row],[Group_Code]]&amp;tblTieBreakC1[[#This Row],[Point_Rank]],tblGroupTieBreakRank[Rank_Code],0),MATCH("Total Goals For Team 3",tblGroupTieBreakRank[#Headers],0)),"")</f>
        <v>#N/A</v>
      </c>
      <c r="K28" s="1" t="e" cm="1">
        <f t="array" ref="K28">SUMPRODUCT((tblTieBreakC1[[#This Row],[Group_Code]]=tblTieBreakC1[Group_Code])*(tblTieBreakC1[[#This Row],[Total_Points]]&lt;tblTieBreakC1[Total_Points]))+1</f>
        <v>#N/A</v>
      </c>
      <c r="L28" s="1" t="e" cm="1">
        <f t="array" ref="L28">SUMPRODUCT((tblTieBreakC1[[#This Row],[Group_Code]]=tblTieBreakC1[Group_Code])*(tblTieBreakC1[[#This Row],[Total_Goal_Difference]]&lt;tblTieBreakC1[Total_Goal_Difference]))+1</f>
        <v>#N/A</v>
      </c>
      <c r="M28" s="1" t="e" cm="1">
        <f t="array" ref="M28">SUMPRODUCT((tblTieBreakC1[[#This Row],[Group_Code]]=tblTieBreakC1[Group_Code])*(tblTieBreakC1[[#This Row],[Total_Goals_For]]&lt;tblTieBreakC1[Total_Goals_For]))+1</f>
        <v>#N/A</v>
      </c>
      <c r="N28" s="1" t="e">
        <f>VALUE(IF(LEN(tblTieBreakC1[[#This Row],[Group_Number]])&gt;0,1,2)&amp;tblTieBreakC1[[#This Row],[Rank_Points]]&amp;tblTieBreakC1[[#This Row],[Rank_Goal_Difference]]&amp;tblTieBreakC1[[#This Row],[Rank_Goals_For]])</f>
        <v>#N/A</v>
      </c>
      <c r="O28" s="1" t="e" cm="1">
        <f t="array" ref="O28">SUMPRODUCT((tblTieBreakC1[[#This Row],[Group_Code]]=tblTieBreakC1[Group_Code])*(tblTieBreakC1[[#This Row],[Rank_All_Value]]&gt;tblTieBreakC1[Rank_All_Value]))+1</f>
        <v>#N/A</v>
      </c>
    </row>
    <row r="30" spans="2:15" x14ac:dyDescent="0.25">
      <c r="B30" s="1" t="s">
        <v>286</v>
      </c>
      <c r="C30" s="1" t="s">
        <v>40</v>
      </c>
      <c r="D30" s="1" t="s">
        <v>240</v>
      </c>
      <c r="E30" s="1" t="s">
        <v>285</v>
      </c>
      <c r="F30" s="1" t="s">
        <v>35</v>
      </c>
      <c r="G30" s="1" t="s">
        <v>191</v>
      </c>
      <c r="H30" s="1" t="s">
        <v>212</v>
      </c>
      <c r="I30" s="1" t="s">
        <v>288</v>
      </c>
      <c r="J30" s="1" t="s">
        <v>213</v>
      </c>
      <c r="K30" s="1" t="s">
        <v>289</v>
      </c>
      <c r="L30" s="1" t="s">
        <v>290</v>
      </c>
      <c r="M30" s="1" t="s">
        <v>291</v>
      </c>
      <c r="N30" s="1" t="s">
        <v>292</v>
      </c>
      <c r="O30" s="1" t="s">
        <v>293</v>
      </c>
    </row>
    <row r="31" spans="2:15" x14ac:dyDescent="0.25">
      <c r="B31" s="1">
        <v>1</v>
      </c>
      <c r="C31" s="1" t="s">
        <v>33</v>
      </c>
      <c r="D31" s="1">
        <f>_xlfn.MAXIFS(tblGroupTieBreakRank[Point_Rank_TRUE],tblGroupTieBreakRank[Group_Code],tblTieBreakC2[[#This Row],[Group_Code]])</f>
        <v>0</v>
      </c>
      <c r="E31" s="1" t="e">
        <f>INDEX(tblGroupTieBreakRank[],MATCH(tblTieBreakC2[[#This Row],[Group_Code]]&amp;tblTieBreakC2[[#This Row],[Point_Rank]],tblGroupTieBreakRank[Rank_Code],0),MATCH("Count",tblGroupTieBreakRank[#Headers],0))</f>
        <v>#N/A</v>
      </c>
      <c r="F31" s="1" t="e">
        <f>INDEX(tblGroupTieBreakRank[],MATCH(tblTieBreakC2[[#This Row],[Group_Code]]&amp;tblTieBreakC2[[#This Row],[Point_Rank]],tblGroupTieBreakRank[Rank_Code],0),MATCH("Rank Team 1",tblGroupTieBreakRank[#Headers],0))</f>
        <v>#N/A</v>
      </c>
      <c r="G31" s="1" t="e">
        <f>IF(LEN(tblTieBreakC2[[#This Row],[Group_Number]])&gt;0,tblTieBreakC2[[#This Row],[Group_Code]]&amp;tblTieBreakC2[[#This Row],[Group_Number]],"")</f>
        <v>#N/A</v>
      </c>
      <c r="H31" s="1" t="e">
        <f>INDEX(tblGroupTieBreakRank[],MATCH(tblTieBreakC2[[#This Row],[Group_Code]]&amp;tblTieBreakC2[[#This Row],[Point_Rank]],tblGroupTieBreakRank[Rank_Code],0),MATCH("Total Points Team 1",tblGroupTieBreakRank[#Headers],0))</f>
        <v>#N/A</v>
      </c>
      <c r="I31" s="1" t="e">
        <f>INDEX(tblGroupTieBreakRank[],MATCH(tblTieBreakC2[[#This Row],[Group_Code]]&amp;tblTieBreakC2[[#This Row],[Point_Rank]],tblGroupTieBreakRank[Rank_Code],0),MATCH("Total Goal Difference Team 1",tblGroupTieBreakRank[#Headers],0))</f>
        <v>#N/A</v>
      </c>
      <c r="J31" s="1" t="e">
        <f>INDEX(tblGroupTieBreakRank[],MATCH(tblTieBreakC2[[#This Row],[Group_Code]]&amp;tblTieBreakC2[[#This Row],[Point_Rank]],tblGroupTieBreakRank[Rank_Code],0),MATCH("Total Goals For Team 1",tblGroupTieBreakRank[#Headers],0))</f>
        <v>#N/A</v>
      </c>
      <c r="K31" s="1" t="e" cm="1">
        <f t="array" ref="K31">SUMPRODUCT((tblTieBreakC2[[#This Row],[Group_Code]]=tblTieBreakC2[Group_Code])*(tblTieBreakC2[[#This Row],[Total_Points]]&lt;tblTieBreakC2[Total_Points]))+1</f>
        <v>#N/A</v>
      </c>
      <c r="L31" s="1" t="e" cm="1">
        <f t="array" ref="L31">SUMPRODUCT((tblTieBreakC2[[#This Row],[Group_Code]]=tblTieBreakC2[Group_Code])*(tblTieBreakC2[[#This Row],[Total_Goal_Difference]]&lt;tblTieBreakC2[Total_Goal_Difference]))+1</f>
        <v>#N/A</v>
      </c>
      <c r="M31" s="1" t="e" cm="1">
        <f t="array" ref="M31">SUMPRODUCT((tblTieBreakC2[[#This Row],[Group_Code]]=tblTieBreakC2[Group_Code])*(tblTieBreakC2[[#This Row],[Total_Goals_For]]&lt;tblTieBreakC2[Total_Goals_For]))+1</f>
        <v>#N/A</v>
      </c>
      <c r="N31" s="1" t="e">
        <f>VALUE(IF(LEN(tblTieBreakC2[[#This Row],[Group_Number]])&gt;0,1,2)&amp;tblTieBreakC2[[#This Row],[Rank_Points]]&amp;tblTieBreakC2[[#This Row],[Rank_Goal_Difference]]&amp;tblTieBreakC2[[#This Row],[Rank_Goals_For]])</f>
        <v>#N/A</v>
      </c>
      <c r="O31" s="1" t="e" cm="1">
        <f t="array" ref="O31">SUMPRODUCT((tblTieBreakC2[[#This Row],[Group_Code]]=tblTieBreakC2[Group_Code])*(tblTieBreakC2[[#This Row],[Rank_All_Value]]&gt;tblTieBreakC2[Rank_All_Value]))+1</f>
        <v>#N/A</v>
      </c>
    </row>
    <row r="32" spans="2:15" x14ac:dyDescent="0.25">
      <c r="B32" s="1">
        <v>2</v>
      </c>
      <c r="C32" s="1" t="s">
        <v>33</v>
      </c>
      <c r="D32" s="1">
        <f>_xlfn.MAXIFS(tblGroupTieBreakRank[Point_Rank_TRUE],tblGroupTieBreakRank[Group_Code],tblTieBreakC2[[#This Row],[Group_Code]])</f>
        <v>0</v>
      </c>
      <c r="E32" s="1" t="e">
        <f>INDEX(tblGroupTieBreakRank[],MATCH(tblTieBreakC2[[#This Row],[Group_Code]]&amp;tblTieBreakC2[[#This Row],[Point_Rank]],tblGroupTieBreakRank[Rank_Code],0),MATCH("Count",tblGroupTieBreakRank[#Headers],0))</f>
        <v>#N/A</v>
      </c>
      <c r="F32" s="1" t="e">
        <f>INDEX(tblGroupTieBreakRank[],MATCH(tblTieBreakC2[[#This Row],[Group_Code]]&amp;tblTieBreakC2[[#This Row],[Point_Rank]],tblGroupTieBreakRank[Rank_Code],0),MATCH("Rank Team 2",tblGroupTieBreakRank[#Headers],0))</f>
        <v>#N/A</v>
      </c>
      <c r="G32" s="1" t="e">
        <f>IF(LEN(tblTieBreakC2[[#This Row],[Group_Number]])&gt;0,tblTieBreakC2[[#This Row],[Group_Code]]&amp;tblTieBreakC2[[#This Row],[Group_Number]],"")</f>
        <v>#N/A</v>
      </c>
      <c r="H32" s="1" t="e">
        <f>INDEX(tblGroupTieBreakRank[],MATCH(tblTieBreakC2[[#This Row],[Group_Code]]&amp;tblTieBreakC2[[#This Row],[Point_Rank]],tblGroupTieBreakRank[Rank_Code],0),MATCH("Total Points Team 2",tblGroupTieBreakRank[#Headers],0))</f>
        <v>#N/A</v>
      </c>
      <c r="I32" s="1" t="e">
        <f>INDEX(tblGroupTieBreakRank[],MATCH(tblTieBreakC2[[#This Row],[Group_Code]]&amp;tblTieBreakC2[[#This Row],[Point_Rank]],tblGroupTieBreakRank[Rank_Code],0),MATCH("Total Goal Difference Team 2",tblGroupTieBreakRank[#Headers],0))</f>
        <v>#N/A</v>
      </c>
      <c r="J32" s="1" t="e">
        <f>INDEX(tblGroupTieBreakRank[],MATCH(tblTieBreakC2[[#This Row],[Group_Code]]&amp;tblTieBreakC2[[#This Row],[Point_Rank]],tblGroupTieBreakRank[Rank_Code],0),MATCH("Total Goals For Team 2",tblGroupTieBreakRank[#Headers],0))</f>
        <v>#N/A</v>
      </c>
      <c r="K32" s="1" t="e" cm="1">
        <f t="array" ref="K32">SUMPRODUCT((tblTieBreakC2[[#This Row],[Group_Code]]=tblTieBreakC2[Group_Code])*(tblTieBreakC2[[#This Row],[Total_Points]]&lt;tblTieBreakC2[Total_Points]))+1</f>
        <v>#N/A</v>
      </c>
      <c r="L32" s="1" t="e" cm="1">
        <f t="array" ref="L32">SUMPRODUCT((tblTieBreakC2[[#This Row],[Group_Code]]=tblTieBreakC2[Group_Code])*(tblTieBreakC2[[#This Row],[Total_Goal_Difference]]&lt;tblTieBreakC2[Total_Goal_Difference]))+1</f>
        <v>#N/A</v>
      </c>
      <c r="M32" s="1" t="e" cm="1">
        <f t="array" ref="M32">SUMPRODUCT((tblTieBreakC2[[#This Row],[Group_Code]]=tblTieBreakC2[Group_Code])*(tblTieBreakC2[[#This Row],[Total_Goals_For]]&lt;tblTieBreakC2[Total_Goals_For]))+1</f>
        <v>#N/A</v>
      </c>
      <c r="N32" s="1" t="e">
        <f>VALUE(IF(LEN(tblTieBreakC2[[#This Row],[Group_Number]])&gt;0,1,2)&amp;tblTieBreakC2[[#This Row],[Rank_Points]]&amp;tblTieBreakC2[[#This Row],[Rank_Goal_Difference]]&amp;tblTieBreakC2[[#This Row],[Rank_Goals_For]])</f>
        <v>#N/A</v>
      </c>
      <c r="O32" s="1" t="e" cm="1">
        <f t="array" ref="O32">SUMPRODUCT((tblTieBreakC2[[#This Row],[Group_Code]]=tblTieBreakC2[Group_Code])*(tblTieBreakC2[[#This Row],[Rank_All_Value]]&gt;tblTieBreakC2[Rank_All_Value]))+1</f>
        <v>#N/A</v>
      </c>
    </row>
    <row r="33" spans="2:15" x14ac:dyDescent="0.25">
      <c r="B33" s="1">
        <v>3</v>
      </c>
      <c r="C33" s="1" t="s">
        <v>33</v>
      </c>
      <c r="D33" s="1">
        <f>_xlfn.MAXIFS(tblGroupTieBreakRank[Point_Rank_TRUE],tblGroupTieBreakRank[Group_Code],tblTieBreakC2[[#This Row],[Group_Code]])</f>
        <v>0</v>
      </c>
      <c r="E33" s="1" t="e">
        <f>INDEX(tblGroupTieBreakRank[],MATCH(tblTieBreakC2[[#This Row],[Group_Code]]&amp;tblTieBreakC2[[#This Row],[Point_Rank]],tblGroupTieBreakRank[Rank_Code],0),MATCH("Count",tblGroupTieBreakRank[#Headers],0))</f>
        <v>#N/A</v>
      </c>
      <c r="F33" s="1" t="e">
        <f>IF(tblTieBreakC2[[#This Row],[Rank_Count]]=3,INDEX(tblGroupTieBreakRank[],MATCH(tblTieBreakC2[[#This Row],[Group_Code]]&amp;tblTieBreakC2[[#This Row],[Point_Rank]],tblGroupTieBreakRank[Rank_Code],0),MATCH("Rank Team 3",tblGroupTieBreakRank[#Headers],0)),"")</f>
        <v>#N/A</v>
      </c>
      <c r="G33" s="1" t="e">
        <f>IF(LEN(tblTieBreakC2[[#This Row],[Group_Number]])&gt;0,tblTieBreakC2[[#This Row],[Group_Code]]&amp;tblTieBreakC2[[#This Row],[Group_Number]],"")</f>
        <v>#N/A</v>
      </c>
      <c r="H33" s="1" t="e">
        <f>IF(tblTieBreakC2[[#This Row],[Rank_Count]]=3,INDEX(tblGroupTieBreakRank[],MATCH(tblTieBreakC2[[#This Row],[Group_Code]]&amp;tblTieBreakC2[[#This Row],[Point_Rank]],tblGroupTieBreakRank[Rank_Code],0),MATCH("Total Points Team 3",tblGroupTieBreakRank[#Headers],0)),"")</f>
        <v>#N/A</v>
      </c>
      <c r="I33" s="1" t="e">
        <f>IF(tblTieBreakC2[[#This Row],[Rank_Count]]=3,INDEX(tblGroupTieBreakRank[],MATCH(tblTieBreakC2[[#This Row],[Group_Code]]&amp;tblTieBreakC2[[#This Row],[Point_Rank]],tblGroupTieBreakRank[Rank_Code],0),MATCH("Total Goal Difference Team 3",tblGroupTieBreakRank[#Headers],0)),"")</f>
        <v>#N/A</v>
      </c>
      <c r="J33" s="1" t="e">
        <f>IF(tblTieBreakC2[[#This Row],[Rank_Count]]=3,INDEX(tblGroupTieBreakRank[],MATCH(tblTieBreakC2[[#This Row],[Group_Code]]&amp;tblTieBreakC2[[#This Row],[Point_Rank]],tblGroupTieBreakRank[Rank_Code],0),MATCH("Total Goals For Team 3",tblGroupTieBreakRank[#Headers],0)),"")</f>
        <v>#N/A</v>
      </c>
      <c r="K33" s="1" t="e" cm="1">
        <f t="array" ref="K33">SUMPRODUCT((tblTieBreakC2[[#This Row],[Group_Code]]=tblTieBreakC2[Group_Code])*(tblTieBreakC2[[#This Row],[Total_Points]]&lt;tblTieBreakC2[Total_Points]))+1</f>
        <v>#N/A</v>
      </c>
      <c r="L33" s="1" t="e" cm="1">
        <f t="array" ref="L33">SUMPRODUCT((tblTieBreakC2[[#This Row],[Group_Code]]=tblTieBreakC2[Group_Code])*(tblTieBreakC2[[#This Row],[Total_Goal_Difference]]&lt;tblTieBreakC2[Total_Goal_Difference]))+1</f>
        <v>#N/A</v>
      </c>
      <c r="M33" s="1" t="e" cm="1">
        <f t="array" ref="M33">SUMPRODUCT((tblTieBreakC2[[#This Row],[Group_Code]]=tblTieBreakC2[Group_Code])*(tblTieBreakC2[[#This Row],[Total_Goals_For]]&lt;tblTieBreakC2[Total_Goals_For]))+1</f>
        <v>#N/A</v>
      </c>
      <c r="N33" s="1" t="e">
        <f>VALUE(IF(LEN(tblTieBreakC2[[#This Row],[Group_Number]])&gt;0,1,2)&amp;tblTieBreakC2[[#This Row],[Rank_Points]]&amp;tblTieBreakC2[[#This Row],[Rank_Goal_Difference]]&amp;tblTieBreakC2[[#This Row],[Rank_Goals_For]])</f>
        <v>#N/A</v>
      </c>
      <c r="O33" s="1" t="e" cm="1">
        <f t="array" ref="O33">SUMPRODUCT((tblTieBreakC2[[#This Row],[Group_Code]]=tblTieBreakC2[Group_Code])*(tblTieBreakC2[[#This Row],[Rank_All_Value]]&gt;tblTieBreakC2[Rank_All_Value]))+1</f>
        <v>#N/A</v>
      </c>
    </row>
    <row r="35" spans="2:15" x14ac:dyDescent="0.25">
      <c r="B35" s="1" t="s">
        <v>34</v>
      </c>
    </row>
    <row r="36" spans="2:15" x14ac:dyDescent="0.25">
      <c r="B36" s="1" t="s">
        <v>286</v>
      </c>
      <c r="C36" s="1" t="s">
        <v>40</v>
      </c>
      <c r="D36" s="1" t="s">
        <v>240</v>
      </c>
      <c r="E36" s="1" t="s">
        <v>285</v>
      </c>
      <c r="F36" s="1" t="s">
        <v>35</v>
      </c>
      <c r="G36" s="1" t="s">
        <v>191</v>
      </c>
      <c r="H36" s="1" t="s">
        <v>212</v>
      </c>
      <c r="I36" s="1" t="s">
        <v>288</v>
      </c>
      <c r="J36" s="1" t="s">
        <v>213</v>
      </c>
      <c r="K36" s="1" t="s">
        <v>289</v>
      </c>
      <c r="L36" s="1" t="s">
        <v>290</v>
      </c>
      <c r="M36" s="1" t="s">
        <v>291</v>
      </c>
      <c r="N36" s="1" t="s">
        <v>292</v>
      </c>
      <c r="O36" s="1" t="s">
        <v>293</v>
      </c>
    </row>
    <row r="37" spans="2:15" x14ac:dyDescent="0.25">
      <c r="B37" s="1">
        <v>1</v>
      </c>
      <c r="C37" s="1" t="s">
        <v>34</v>
      </c>
      <c r="D37" s="1">
        <f>_xlfn.MINIFS(tblGroupTieBreakRank[Point_Rank_TRUE],tblGroupTieBreakRank[Group_Code],tblTieBreakD1[[#This Row],[Group_Code]])</f>
        <v>0</v>
      </c>
      <c r="E37" s="1" t="e">
        <f>INDEX(tblGroupTieBreakRank[],MATCH(tblTieBreakD1[[#This Row],[Group_Code]]&amp;tblTieBreakD1[[#This Row],[Point_Rank]],tblGroupTieBreakRank[Rank_Code],0),MATCH("Count",tblGroupTieBreakRank[#Headers],0))</f>
        <v>#N/A</v>
      </c>
      <c r="F37" s="1" t="e">
        <f>INDEX(tblGroupTieBreakRank[],MATCH(tblTieBreakD1[[#This Row],[Group_Code]]&amp;tblTieBreakD1[[#This Row],[Point_Rank]],tblGroupTieBreakRank[Rank_Code],0),MATCH("Rank Team 1",tblGroupTieBreakRank[#Headers],0))</f>
        <v>#N/A</v>
      </c>
      <c r="G37" s="1" t="e">
        <f>IF(LEN(tblTieBreakD1[[#This Row],[Group_Number]])&gt;0,tblTieBreakD1[[#This Row],[Group_Code]]&amp;tblTieBreakD1[[#This Row],[Group_Number]],"")</f>
        <v>#N/A</v>
      </c>
      <c r="H37" s="1" t="e">
        <f>INDEX(tblGroupTieBreakRank[],MATCH(tblTieBreakD1[[#This Row],[Group_Code]]&amp;tblTieBreakD1[[#This Row],[Point_Rank]],tblGroupTieBreakRank[Rank_Code],0),MATCH("Total Points Team 1",tblGroupTieBreakRank[#Headers],0))</f>
        <v>#N/A</v>
      </c>
      <c r="I37" s="1" t="e">
        <f>INDEX(tblGroupTieBreakRank[],MATCH(tblTieBreakD1[[#This Row],[Group_Code]]&amp;tblTieBreakD1[[#This Row],[Point_Rank]],tblGroupTieBreakRank[Rank_Code],0),MATCH("Total Goal Difference Team 1",tblGroupTieBreakRank[#Headers],0))</f>
        <v>#N/A</v>
      </c>
      <c r="J37" s="1" t="e">
        <f>INDEX(tblGroupTieBreakRank[],MATCH(tblTieBreakD1[[#This Row],[Group_Code]]&amp;tblTieBreakD1[[#This Row],[Point_Rank]],tblGroupTieBreakRank[Rank_Code],0),MATCH("Total Goals For Team 1",tblGroupTieBreakRank[#Headers],0))</f>
        <v>#N/A</v>
      </c>
      <c r="K37" s="1" t="e" cm="1">
        <f t="array" ref="K37">SUMPRODUCT((tblTieBreakD1[[#This Row],[Group_Code]]=tblTieBreakD1[Group_Code])*(tblTieBreakD1[[#This Row],[Total_Points]]&lt;tblTieBreakD1[Total_Points]))+1</f>
        <v>#N/A</v>
      </c>
      <c r="L37" s="1" t="e" cm="1">
        <f t="array" ref="L37">SUMPRODUCT((tblTieBreakD1[[#This Row],[Group_Code]]=tblTieBreakD1[Group_Code])*(tblTieBreakD1[[#This Row],[Total_Goal_Difference]]&lt;tblTieBreakD1[Total_Goal_Difference]))+1</f>
        <v>#N/A</v>
      </c>
      <c r="M37" s="1" t="e" cm="1">
        <f t="array" ref="M37">SUMPRODUCT((tblTieBreakD1[[#This Row],[Group_Code]]=tblTieBreakD1[Group_Code])*(tblTieBreakD1[[#This Row],[Total_Goals_For]]&lt;tblTieBreakD1[Total_Goals_For]))+1</f>
        <v>#N/A</v>
      </c>
      <c r="N37" s="1" t="e">
        <f>VALUE(IF(LEN(tblTieBreakD1[[#This Row],[Group_Number]])&gt;0,1,2)&amp;tblTieBreakD1[[#This Row],[Rank_Points]]&amp;tblTieBreakD1[[#This Row],[Rank_Goal_Difference]]&amp;tblTieBreakD1[[#This Row],[Rank_Goals_For]])</f>
        <v>#N/A</v>
      </c>
      <c r="O37" s="1" t="e" cm="1">
        <f t="array" ref="O37">SUMPRODUCT((tblTieBreakD1[[#This Row],[Group_Code]]=tblTieBreakD1[Group_Code])*(tblTieBreakD1[[#This Row],[Rank_All_Value]]&gt;tblTieBreakD1[Rank_All_Value]))+1</f>
        <v>#N/A</v>
      </c>
    </row>
    <row r="38" spans="2:15" x14ac:dyDescent="0.25">
      <c r="B38" s="1">
        <v>2</v>
      </c>
      <c r="C38" s="1" t="s">
        <v>34</v>
      </c>
      <c r="D38" s="1">
        <f>_xlfn.MINIFS(tblGroupTieBreakRank[Point_Rank_TRUE],tblGroupTieBreakRank[Group_Code],tblTieBreakD1[[#This Row],[Group_Code]])</f>
        <v>0</v>
      </c>
      <c r="E38" s="1" t="e">
        <f>INDEX(tblGroupTieBreakRank[],MATCH(tblTieBreakD1[[#This Row],[Group_Code]]&amp;tblTieBreakD1[[#This Row],[Point_Rank]],tblGroupTieBreakRank[Rank_Code],0),MATCH("Count",tblGroupTieBreakRank[#Headers],0))</f>
        <v>#N/A</v>
      </c>
      <c r="F38" s="1" t="e">
        <f>INDEX(tblGroupTieBreakRank[],MATCH(tblTieBreakD1[[#This Row],[Group_Code]]&amp;tblTieBreakD1[[#This Row],[Point_Rank]],tblGroupTieBreakRank[Rank_Code],0),MATCH("Rank Team 2",tblGroupTieBreakRank[#Headers],0))</f>
        <v>#N/A</v>
      </c>
      <c r="G38" s="1" t="e">
        <f>IF(LEN(tblTieBreakD1[[#This Row],[Group_Number]])&gt;0,tblTieBreakD1[[#This Row],[Group_Code]]&amp;tblTieBreakD1[[#This Row],[Group_Number]],"")</f>
        <v>#N/A</v>
      </c>
      <c r="H38" s="1" t="e">
        <f>INDEX(tblGroupTieBreakRank[],MATCH(tblTieBreakD1[[#This Row],[Group_Code]]&amp;tblTieBreakD1[[#This Row],[Point_Rank]],tblGroupTieBreakRank[Rank_Code],0),MATCH("Total Points Team 2",tblGroupTieBreakRank[#Headers],0))</f>
        <v>#N/A</v>
      </c>
      <c r="I38" s="1" t="e">
        <f>INDEX(tblGroupTieBreakRank[],MATCH(tblTieBreakD1[[#This Row],[Group_Code]]&amp;tblTieBreakD1[[#This Row],[Point_Rank]],tblGroupTieBreakRank[Rank_Code],0),MATCH("Total Goal Difference Team 2",tblGroupTieBreakRank[#Headers],0))</f>
        <v>#N/A</v>
      </c>
      <c r="J38" s="1" t="e">
        <f>INDEX(tblGroupTieBreakRank[],MATCH(tblTieBreakD1[[#This Row],[Group_Code]]&amp;tblTieBreakD1[[#This Row],[Point_Rank]],tblGroupTieBreakRank[Rank_Code],0),MATCH("Total Goals For Team 2",tblGroupTieBreakRank[#Headers],0))</f>
        <v>#N/A</v>
      </c>
      <c r="K38" s="1" t="e" cm="1">
        <f t="array" ref="K38">SUMPRODUCT((tblTieBreakD1[[#This Row],[Group_Code]]=tblTieBreakD1[Group_Code])*(tblTieBreakD1[[#This Row],[Total_Points]]&lt;tblTieBreakD1[Total_Points]))+1</f>
        <v>#N/A</v>
      </c>
      <c r="L38" s="1" t="e" cm="1">
        <f t="array" ref="L38">SUMPRODUCT((tblTieBreakD1[[#This Row],[Group_Code]]=tblTieBreakD1[Group_Code])*(tblTieBreakD1[[#This Row],[Total_Goal_Difference]]&lt;tblTieBreakD1[Total_Goal_Difference]))+1</f>
        <v>#N/A</v>
      </c>
      <c r="M38" s="1" t="e" cm="1">
        <f t="array" ref="M38">SUMPRODUCT((tblTieBreakD1[[#This Row],[Group_Code]]=tblTieBreakD1[Group_Code])*(tblTieBreakD1[[#This Row],[Total_Goals_For]]&lt;tblTieBreakD1[Total_Goals_For]))+1</f>
        <v>#N/A</v>
      </c>
      <c r="N38" s="1" t="e">
        <f>VALUE(IF(LEN(tblTieBreakD1[[#This Row],[Group_Number]])&gt;0,1,2)&amp;tblTieBreakD1[[#This Row],[Rank_Points]]&amp;tblTieBreakD1[[#This Row],[Rank_Goal_Difference]]&amp;tblTieBreakD1[[#This Row],[Rank_Goals_For]])</f>
        <v>#N/A</v>
      </c>
      <c r="O38" s="1" t="e" cm="1">
        <f t="array" ref="O38">SUMPRODUCT((tblTieBreakD1[[#This Row],[Group_Code]]=tblTieBreakD1[Group_Code])*(tblTieBreakD1[[#This Row],[Rank_All_Value]]&gt;tblTieBreakD1[Rank_All_Value]))+1</f>
        <v>#N/A</v>
      </c>
    </row>
    <row r="39" spans="2:15" x14ac:dyDescent="0.25">
      <c r="B39" s="1">
        <v>3</v>
      </c>
      <c r="C39" s="1" t="s">
        <v>34</v>
      </c>
      <c r="D39" s="1">
        <f>_xlfn.MINIFS(tblGroupTieBreakRank[Point_Rank_TRUE],tblGroupTieBreakRank[Group_Code],tblTieBreakD1[[#This Row],[Group_Code]])</f>
        <v>0</v>
      </c>
      <c r="E39" s="1" t="e">
        <f>INDEX(tblGroupTieBreakRank[],MATCH(tblTieBreakD1[[#This Row],[Group_Code]]&amp;tblTieBreakD1[[#This Row],[Point_Rank]],tblGroupTieBreakRank[Rank_Code],0),MATCH("Count",tblGroupTieBreakRank[#Headers],0))</f>
        <v>#N/A</v>
      </c>
      <c r="F39" s="1" t="e">
        <f>IF(tblTieBreakD1[[#This Row],[Rank_Count]]=3,INDEX(tblGroupTieBreakRank[],MATCH(tblTieBreakD1[[#This Row],[Group_Code]]&amp;tblTieBreakD1[[#This Row],[Point_Rank]],tblGroupTieBreakRank[Rank_Code],0),MATCH("Rank Team 3",tblGroupTieBreakRank[#Headers],0)),"")</f>
        <v>#N/A</v>
      </c>
      <c r="G39" s="1" t="e">
        <f>IF(LEN(tblTieBreakD1[[#This Row],[Group_Number]])&gt;0,tblTieBreakD1[[#This Row],[Group_Code]]&amp;tblTieBreakD1[[#This Row],[Group_Number]],"")</f>
        <v>#N/A</v>
      </c>
      <c r="H39" s="1" t="e">
        <f>IF(tblTieBreakD1[[#This Row],[Rank_Count]]=3,INDEX(tblGroupTieBreakRank[],MATCH(tblTieBreakD1[[#This Row],[Group_Code]]&amp;tblTieBreakD1[[#This Row],[Point_Rank]],tblGroupTieBreakRank[Rank_Code],0),MATCH("Total Points Team 3",tblGroupTieBreakRank[#Headers],0)),"")</f>
        <v>#N/A</v>
      </c>
      <c r="I39" s="1" t="e">
        <f>IF(tblTieBreakD1[[#This Row],[Rank_Count]]=3,INDEX(tblGroupTieBreakRank[],MATCH(tblTieBreakD1[[#This Row],[Group_Code]]&amp;tblTieBreakD1[[#This Row],[Point_Rank]],tblGroupTieBreakRank[Rank_Code],0),MATCH("Total Goal Difference Team 3",tblGroupTieBreakRank[#Headers],0)),"")</f>
        <v>#N/A</v>
      </c>
      <c r="J39" s="1" t="e">
        <f>IF(tblTieBreakD1[[#This Row],[Rank_Count]]=3,INDEX(tblGroupTieBreakRank[],MATCH(tblTieBreakD1[[#This Row],[Group_Code]]&amp;tblTieBreakD1[[#This Row],[Point_Rank]],tblGroupTieBreakRank[Rank_Code],0),MATCH("Total Goals For Team 3",tblGroupTieBreakRank[#Headers],0)),"")</f>
        <v>#N/A</v>
      </c>
      <c r="K39" s="1" t="e" cm="1">
        <f t="array" ref="K39">SUMPRODUCT((tblTieBreakD1[[#This Row],[Group_Code]]=tblTieBreakD1[Group_Code])*(tblTieBreakD1[[#This Row],[Total_Points]]&lt;tblTieBreakD1[Total_Points]))+1</f>
        <v>#N/A</v>
      </c>
      <c r="L39" s="1" t="e" cm="1">
        <f t="array" ref="L39">SUMPRODUCT((tblTieBreakD1[[#This Row],[Group_Code]]=tblTieBreakD1[Group_Code])*(tblTieBreakD1[[#This Row],[Total_Goal_Difference]]&lt;tblTieBreakD1[Total_Goal_Difference]))+1</f>
        <v>#N/A</v>
      </c>
      <c r="M39" s="1" t="e" cm="1">
        <f t="array" ref="M39">SUMPRODUCT((tblTieBreakD1[[#This Row],[Group_Code]]=tblTieBreakD1[Group_Code])*(tblTieBreakD1[[#This Row],[Total_Goals_For]]&lt;tblTieBreakD1[Total_Goals_For]))+1</f>
        <v>#N/A</v>
      </c>
      <c r="N39" s="1" t="e">
        <f>VALUE(IF(LEN(tblTieBreakD1[[#This Row],[Group_Number]])&gt;0,1,2)&amp;tblTieBreakD1[[#This Row],[Rank_Points]]&amp;tblTieBreakD1[[#This Row],[Rank_Goal_Difference]]&amp;tblTieBreakD1[[#This Row],[Rank_Goals_For]])</f>
        <v>#N/A</v>
      </c>
      <c r="O39" s="1" t="e" cm="1">
        <f t="array" ref="O39">SUMPRODUCT((tblTieBreakD1[[#This Row],[Group_Code]]=tblTieBreakD1[Group_Code])*(tblTieBreakD1[[#This Row],[Rank_All_Value]]&gt;tblTieBreakD1[Rank_All_Value]))+1</f>
        <v>#N/A</v>
      </c>
    </row>
    <row r="41" spans="2:15" x14ac:dyDescent="0.25">
      <c r="B41" s="1" t="s">
        <v>286</v>
      </c>
      <c r="C41" s="1" t="s">
        <v>40</v>
      </c>
      <c r="D41" s="1" t="s">
        <v>240</v>
      </c>
      <c r="E41" s="1" t="s">
        <v>285</v>
      </c>
      <c r="F41" s="1" t="s">
        <v>35</v>
      </c>
      <c r="G41" s="1" t="s">
        <v>191</v>
      </c>
      <c r="H41" s="1" t="s">
        <v>212</v>
      </c>
      <c r="I41" s="1" t="s">
        <v>288</v>
      </c>
      <c r="J41" s="1" t="s">
        <v>213</v>
      </c>
      <c r="K41" s="1" t="s">
        <v>289</v>
      </c>
      <c r="L41" s="1" t="s">
        <v>290</v>
      </c>
      <c r="M41" s="1" t="s">
        <v>291</v>
      </c>
      <c r="N41" s="1" t="s">
        <v>292</v>
      </c>
      <c r="O41" s="1" t="s">
        <v>293</v>
      </c>
    </row>
    <row r="42" spans="2:15" x14ac:dyDescent="0.25">
      <c r="B42" s="1">
        <v>1</v>
      </c>
      <c r="C42" s="1" t="s">
        <v>34</v>
      </c>
      <c r="D42" s="1">
        <f>_xlfn.MAXIFS(tblGroupTieBreakRank[Point_Rank_TRUE],tblGroupTieBreakRank[Group_Code],tblTieBreakD2[[#This Row],[Group_Code]])</f>
        <v>0</v>
      </c>
      <c r="E42" s="1" t="e">
        <f>INDEX(tblGroupTieBreakRank[],MATCH(tblTieBreakD2[[#This Row],[Group_Code]]&amp;tblTieBreakD2[[#This Row],[Point_Rank]],tblGroupTieBreakRank[Rank_Code],0),MATCH("Count",tblGroupTieBreakRank[#Headers],0))</f>
        <v>#N/A</v>
      </c>
      <c r="F42" s="1" t="e">
        <f>INDEX(tblGroupTieBreakRank[],MATCH(tblTieBreakD2[[#This Row],[Group_Code]]&amp;tblTieBreakD2[[#This Row],[Point_Rank]],tblGroupTieBreakRank[Rank_Code],0),MATCH("Rank Team 1",tblGroupTieBreakRank[#Headers],0))</f>
        <v>#N/A</v>
      </c>
      <c r="G42" s="1" t="e">
        <f>IF(LEN(tblTieBreakD2[[#This Row],[Group_Number]])&gt;0,tblTieBreakD2[[#This Row],[Group_Code]]&amp;tblTieBreakD2[[#This Row],[Group_Number]],"")</f>
        <v>#N/A</v>
      </c>
      <c r="H42" s="1" t="e">
        <f>INDEX(tblGroupTieBreakRank[],MATCH(tblTieBreakD2[[#This Row],[Group_Code]]&amp;tblTieBreakD2[[#This Row],[Point_Rank]],tblGroupTieBreakRank[Rank_Code],0),MATCH("Total Points Team 1",tblGroupTieBreakRank[#Headers],0))</f>
        <v>#N/A</v>
      </c>
      <c r="I42" s="1" t="e">
        <f>INDEX(tblGroupTieBreakRank[],MATCH(tblTieBreakD2[[#This Row],[Group_Code]]&amp;tblTieBreakD2[[#This Row],[Point_Rank]],tblGroupTieBreakRank[Rank_Code],0),MATCH("Total Goal Difference Team 1",tblGroupTieBreakRank[#Headers],0))</f>
        <v>#N/A</v>
      </c>
      <c r="J42" s="1" t="e">
        <f>INDEX(tblGroupTieBreakRank[],MATCH(tblTieBreakD2[[#This Row],[Group_Code]]&amp;tblTieBreakD2[[#This Row],[Point_Rank]],tblGroupTieBreakRank[Rank_Code],0),MATCH("Total Goals For Team 1",tblGroupTieBreakRank[#Headers],0))</f>
        <v>#N/A</v>
      </c>
      <c r="K42" s="1" t="e" cm="1">
        <f t="array" ref="K42">SUMPRODUCT((tblTieBreakD2[[#This Row],[Group_Code]]=tblTieBreakD2[Group_Code])*(tblTieBreakD2[[#This Row],[Total_Points]]&lt;tblTieBreakD2[Total_Points]))+1</f>
        <v>#N/A</v>
      </c>
      <c r="L42" s="1" t="e" cm="1">
        <f t="array" ref="L42">SUMPRODUCT((tblTieBreakD2[[#This Row],[Group_Code]]=tblTieBreakD2[Group_Code])*(tblTieBreakD2[[#This Row],[Total_Goal_Difference]]&lt;tblTieBreakD2[Total_Goal_Difference]))+1</f>
        <v>#N/A</v>
      </c>
      <c r="M42" s="1" t="e" cm="1">
        <f t="array" ref="M42">SUMPRODUCT((tblTieBreakD2[[#This Row],[Group_Code]]=tblTieBreakD2[Group_Code])*(tblTieBreakD2[[#This Row],[Total_Goals_For]]&lt;tblTieBreakD2[Total_Goals_For]))+1</f>
        <v>#N/A</v>
      </c>
      <c r="N42" s="1" t="e">
        <f>VALUE(IF(LEN(tblTieBreakD2[[#This Row],[Group_Number]])&gt;0,1,2)&amp;tblTieBreakD2[[#This Row],[Rank_Points]]&amp;tblTieBreakD2[[#This Row],[Rank_Goal_Difference]]&amp;tblTieBreakD2[[#This Row],[Rank_Goals_For]])</f>
        <v>#N/A</v>
      </c>
      <c r="O42" s="1" t="e" cm="1">
        <f t="array" ref="O42">SUMPRODUCT((tblTieBreakD2[[#This Row],[Group_Code]]=tblTieBreakD2[Group_Code])*(tblTieBreakD2[[#This Row],[Rank_All_Value]]&gt;tblTieBreakD2[Rank_All_Value]))+1</f>
        <v>#N/A</v>
      </c>
    </row>
    <row r="43" spans="2:15" x14ac:dyDescent="0.25">
      <c r="B43" s="1">
        <v>2</v>
      </c>
      <c r="C43" s="1" t="s">
        <v>34</v>
      </c>
      <c r="D43" s="1">
        <f>_xlfn.MAXIFS(tblGroupTieBreakRank[Point_Rank_TRUE],tblGroupTieBreakRank[Group_Code],tblTieBreakD2[[#This Row],[Group_Code]])</f>
        <v>0</v>
      </c>
      <c r="E43" s="1" t="e">
        <f>INDEX(tblGroupTieBreakRank[],MATCH(tblTieBreakD2[[#This Row],[Group_Code]]&amp;tblTieBreakD2[[#This Row],[Point_Rank]],tblGroupTieBreakRank[Rank_Code],0),MATCH("Count",tblGroupTieBreakRank[#Headers],0))</f>
        <v>#N/A</v>
      </c>
      <c r="F43" s="1" t="e">
        <f>INDEX(tblGroupTieBreakRank[],MATCH(tblTieBreakD2[[#This Row],[Group_Code]]&amp;tblTieBreakD2[[#This Row],[Point_Rank]],tblGroupTieBreakRank[Rank_Code],0),MATCH("Rank Team 2",tblGroupTieBreakRank[#Headers],0))</f>
        <v>#N/A</v>
      </c>
      <c r="G43" s="1" t="e">
        <f>IF(LEN(tblTieBreakD2[[#This Row],[Group_Number]])&gt;0,tblTieBreakD2[[#This Row],[Group_Code]]&amp;tblTieBreakD2[[#This Row],[Group_Number]],"")</f>
        <v>#N/A</v>
      </c>
      <c r="H43" s="1" t="e">
        <f>INDEX(tblGroupTieBreakRank[],MATCH(tblTieBreakD2[[#This Row],[Group_Code]]&amp;tblTieBreakD2[[#This Row],[Point_Rank]],tblGroupTieBreakRank[Rank_Code],0),MATCH("Total Points Team 2",tblGroupTieBreakRank[#Headers],0))</f>
        <v>#N/A</v>
      </c>
      <c r="I43" s="1" t="e">
        <f>INDEX(tblGroupTieBreakRank[],MATCH(tblTieBreakD2[[#This Row],[Group_Code]]&amp;tblTieBreakD2[[#This Row],[Point_Rank]],tblGroupTieBreakRank[Rank_Code],0),MATCH("Total Goal Difference Team 2",tblGroupTieBreakRank[#Headers],0))</f>
        <v>#N/A</v>
      </c>
      <c r="J43" s="1" t="e">
        <f>INDEX(tblGroupTieBreakRank[],MATCH(tblTieBreakD2[[#This Row],[Group_Code]]&amp;tblTieBreakD2[[#This Row],[Point_Rank]],tblGroupTieBreakRank[Rank_Code],0),MATCH("Total Goals For Team 2",tblGroupTieBreakRank[#Headers],0))</f>
        <v>#N/A</v>
      </c>
      <c r="K43" s="1" t="e" cm="1">
        <f t="array" ref="K43">SUMPRODUCT((tblTieBreakD2[[#This Row],[Group_Code]]=tblTieBreakD2[Group_Code])*(tblTieBreakD2[[#This Row],[Total_Points]]&lt;tblTieBreakD2[Total_Points]))+1</f>
        <v>#N/A</v>
      </c>
      <c r="L43" s="1" t="e" cm="1">
        <f t="array" ref="L43">SUMPRODUCT((tblTieBreakD2[[#This Row],[Group_Code]]=tblTieBreakD2[Group_Code])*(tblTieBreakD2[[#This Row],[Total_Goal_Difference]]&lt;tblTieBreakD2[Total_Goal_Difference]))+1</f>
        <v>#N/A</v>
      </c>
      <c r="M43" s="1" t="e" cm="1">
        <f t="array" ref="M43">SUMPRODUCT((tblTieBreakD2[[#This Row],[Group_Code]]=tblTieBreakD2[Group_Code])*(tblTieBreakD2[[#This Row],[Total_Goals_For]]&lt;tblTieBreakD2[Total_Goals_For]))+1</f>
        <v>#N/A</v>
      </c>
      <c r="N43" s="1" t="e">
        <f>VALUE(IF(LEN(tblTieBreakD2[[#This Row],[Group_Number]])&gt;0,1,2)&amp;tblTieBreakD2[[#This Row],[Rank_Points]]&amp;tblTieBreakD2[[#This Row],[Rank_Goal_Difference]]&amp;tblTieBreakD2[[#This Row],[Rank_Goals_For]])</f>
        <v>#N/A</v>
      </c>
      <c r="O43" s="1" t="e" cm="1">
        <f t="array" ref="O43">SUMPRODUCT((tblTieBreakD2[[#This Row],[Group_Code]]=tblTieBreakD2[Group_Code])*(tblTieBreakD2[[#This Row],[Rank_All_Value]]&gt;tblTieBreakD2[Rank_All_Value]))+1</f>
        <v>#N/A</v>
      </c>
    </row>
    <row r="44" spans="2:15" x14ac:dyDescent="0.25">
      <c r="B44" s="1">
        <v>3</v>
      </c>
      <c r="C44" s="1" t="s">
        <v>34</v>
      </c>
      <c r="D44" s="1">
        <f>_xlfn.MAXIFS(tblGroupTieBreakRank[Point_Rank_TRUE],tblGroupTieBreakRank[Group_Code],tblTieBreakD2[[#This Row],[Group_Code]])</f>
        <v>0</v>
      </c>
      <c r="E44" s="1" t="e">
        <f>INDEX(tblGroupTieBreakRank[],MATCH(tblTieBreakD2[[#This Row],[Group_Code]]&amp;tblTieBreakD2[[#This Row],[Point_Rank]],tblGroupTieBreakRank[Rank_Code],0),MATCH("Count",tblGroupTieBreakRank[#Headers],0))</f>
        <v>#N/A</v>
      </c>
      <c r="F44" s="1" t="e">
        <f>IF(tblTieBreakD2[[#This Row],[Rank_Count]]=3,INDEX(tblGroupTieBreakRank[],MATCH(tblTieBreakD2[[#This Row],[Group_Code]]&amp;tblTieBreakD2[[#This Row],[Point_Rank]],tblGroupTieBreakRank[Rank_Code],0),MATCH("Rank Team 3",tblGroupTieBreakRank[#Headers],0)),"")</f>
        <v>#N/A</v>
      </c>
      <c r="G44" s="1" t="e">
        <f>IF(LEN(tblTieBreakD2[[#This Row],[Group_Number]])&gt;0,tblTieBreakD2[[#This Row],[Group_Code]]&amp;tblTieBreakD2[[#This Row],[Group_Number]],"")</f>
        <v>#N/A</v>
      </c>
      <c r="H44" s="1" t="e">
        <f>IF(tblTieBreakD2[[#This Row],[Rank_Count]]=3,INDEX(tblGroupTieBreakRank[],MATCH(tblTieBreakD2[[#This Row],[Group_Code]]&amp;tblTieBreakD2[[#This Row],[Point_Rank]],tblGroupTieBreakRank[Rank_Code],0),MATCH("Total Points Team 3",tblGroupTieBreakRank[#Headers],0)),"")</f>
        <v>#N/A</v>
      </c>
      <c r="I44" s="1" t="e">
        <f>IF(tblTieBreakD2[[#This Row],[Rank_Count]]=3,INDEX(tblGroupTieBreakRank[],MATCH(tblTieBreakD2[[#This Row],[Group_Code]]&amp;tblTieBreakD2[[#This Row],[Point_Rank]],tblGroupTieBreakRank[Rank_Code],0),MATCH("Total Goal Difference Team 3",tblGroupTieBreakRank[#Headers],0)),"")</f>
        <v>#N/A</v>
      </c>
      <c r="J44" s="1" t="e">
        <f>IF(tblTieBreakD2[[#This Row],[Rank_Count]]=3,INDEX(tblGroupTieBreakRank[],MATCH(tblTieBreakD2[[#This Row],[Group_Code]]&amp;tblTieBreakD2[[#This Row],[Point_Rank]],tblGroupTieBreakRank[Rank_Code],0),MATCH("Total Goals For Team 3",tblGroupTieBreakRank[#Headers],0)),"")</f>
        <v>#N/A</v>
      </c>
      <c r="K44" s="1" t="e" cm="1">
        <f t="array" ref="K44">SUMPRODUCT((tblTieBreakD2[[#This Row],[Group_Code]]=tblTieBreakD2[Group_Code])*(tblTieBreakD2[[#This Row],[Total_Points]]&lt;tblTieBreakD2[Total_Points]))+1</f>
        <v>#N/A</v>
      </c>
      <c r="L44" s="1" t="e" cm="1">
        <f t="array" ref="L44">SUMPRODUCT((tblTieBreakD2[[#This Row],[Group_Code]]=tblTieBreakD2[Group_Code])*(tblTieBreakD2[[#This Row],[Total_Goal_Difference]]&lt;tblTieBreakD2[Total_Goal_Difference]))+1</f>
        <v>#N/A</v>
      </c>
      <c r="M44" s="1" t="e" cm="1">
        <f t="array" ref="M44">SUMPRODUCT((tblTieBreakD2[[#This Row],[Group_Code]]=tblTieBreakD2[Group_Code])*(tblTieBreakD2[[#This Row],[Total_Goals_For]]&lt;tblTieBreakD2[Total_Goals_For]))+1</f>
        <v>#N/A</v>
      </c>
      <c r="N44" s="1" t="e">
        <f>VALUE(IF(LEN(tblTieBreakD2[[#This Row],[Group_Number]])&gt;0,1,2)&amp;tblTieBreakD2[[#This Row],[Rank_Points]]&amp;tblTieBreakD2[[#This Row],[Rank_Goal_Difference]]&amp;tblTieBreakD2[[#This Row],[Rank_Goals_For]])</f>
        <v>#N/A</v>
      </c>
      <c r="O44" s="1" t="e" cm="1">
        <f t="array" ref="O44">SUMPRODUCT((tblTieBreakD2[[#This Row],[Group_Code]]=tblTieBreakD2[Group_Code])*(tblTieBreakD2[[#This Row],[Rank_All_Value]]&gt;tblTieBreakD2[Rank_All_Value]))+1</f>
        <v>#N/A</v>
      </c>
    </row>
    <row r="46" spans="2:15" x14ac:dyDescent="0.25">
      <c r="B46" s="1" t="s">
        <v>27</v>
      </c>
    </row>
    <row r="47" spans="2:15" x14ac:dyDescent="0.25">
      <c r="B47" s="1" t="s">
        <v>286</v>
      </c>
      <c r="C47" s="1" t="s">
        <v>40</v>
      </c>
      <c r="D47" s="1" t="s">
        <v>240</v>
      </c>
      <c r="E47" s="1" t="s">
        <v>285</v>
      </c>
      <c r="F47" s="1" t="s">
        <v>35</v>
      </c>
      <c r="G47" s="1" t="s">
        <v>191</v>
      </c>
      <c r="H47" s="1" t="s">
        <v>212</v>
      </c>
      <c r="I47" s="1" t="s">
        <v>288</v>
      </c>
      <c r="J47" s="1" t="s">
        <v>213</v>
      </c>
      <c r="K47" s="1" t="s">
        <v>289</v>
      </c>
      <c r="L47" s="1" t="s">
        <v>290</v>
      </c>
      <c r="M47" s="1" t="s">
        <v>291</v>
      </c>
      <c r="N47" s="1" t="s">
        <v>292</v>
      </c>
      <c r="O47" s="1" t="s">
        <v>293</v>
      </c>
    </row>
    <row r="48" spans="2:15" x14ac:dyDescent="0.25">
      <c r="B48" s="1">
        <v>1</v>
      </c>
      <c r="C48" s="1" t="s">
        <v>27</v>
      </c>
      <c r="D48" s="1">
        <f>_xlfn.MINIFS(tblGroupTieBreakRank[Point_Rank_TRUE],tblGroupTieBreakRank[Group_Code],tblTieBreakE1[[#This Row],[Group_Code]])</f>
        <v>0</v>
      </c>
      <c r="E48" s="1" t="e">
        <f>INDEX(tblGroupTieBreakRank[],MATCH(tblTieBreakE1[[#This Row],[Group_Code]]&amp;tblTieBreakE1[[#This Row],[Point_Rank]],tblGroupTieBreakRank[Rank_Code],0),MATCH("Count",tblGroupTieBreakRank[#Headers],0))</f>
        <v>#N/A</v>
      </c>
      <c r="F48" s="1" t="e">
        <f>INDEX(tblGroupTieBreakRank[],MATCH(tblTieBreakE1[[#This Row],[Group_Code]]&amp;tblTieBreakE1[[#This Row],[Point_Rank]],tblGroupTieBreakRank[Rank_Code],0),MATCH("Rank Team 1",tblGroupTieBreakRank[#Headers],0))</f>
        <v>#N/A</v>
      </c>
      <c r="G48" s="1" t="e">
        <f>IF(LEN(tblTieBreakE1[[#This Row],[Group_Number]])&gt;0,tblTieBreakE1[[#This Row],[Group_Code]]&amp;tblTieBreakE1[[#This Row],[Group_Number]],"")</f>
        <v>#N/A</v>
      </c>
      <c r="H48" s="1" t="e">
        <f>INDEX(tblGroupTieBreakRank[],MATCH(tblTieBreakE1[[#This Row],[Group_Code]]&amp;tblTieBreakE1[[#This Row],[Point_Rank]],tblGroupTieBreakRank[Rank_Code],0),MATCH("Total Points Team 1",tblGroupTieBreakRank[#Headers],0))</f>
        <v>#N/A</v>
      </c>
      <c r="I48" s="1" t="e">
        <f>INDEX(tblGroupTieBreakRank[],MATCH(tblTieBreakE1[[#This Row],[Group_Code]]&amp;tblTieBreakE1[[#This Row],[Point_Rank]],tblGroupTieBreakRank[Rank_Code],0),MATCH("Total Goal Difference Team 1",tblGroupTieBreakRank[#Headers],0))</f>
        <v>#N/A</v>
      </c>
      <c r="J48" s="1" t="e">
        <f>INDEX(tblGroupTieBreakRank[],MATCH(tblTieBreakE1[[#This Row],[Group_Code]]&amp;tblTieBreakE1[[#This Row],[Point_Rank]],tblGroupTieBreakRank[Rank_Code],0),MATCH("Total Goals For Team 1",tblGroupTieBreakRank[#Headers],0))</f>
        <v>#N/A</v>
      </c>
      <c r="K48" s="1" t="e" cm="1">
        <f t="array" ref="K48">SUMPRODUCT((tblTieBreakE1[[#This Row],[Group_Code]]=tblTieBreakE1[Group_Code])*(tblTieBreakE1[[#This Row],[Total_Points]]&lt;tblTieBreakE1[Total_Points]))+1</f>
        <v>#N/A</v>
      </c>
      <c r="L48" s="1" t="e" cm="1">
        <f t="array" ref="L48">SUMPRODUCT((tblTieBreakE1[[#This Row],[Group_Code]]=tblTieBreakE1[Group_Code])*(tblTieBreakE1[[#This Row],[Total_Goal_Difference]]&lt;tblTieBreakE1[Total_Goal_Difference]))+1</f>
        <v>#N/A</v>
      </c>
      <c r="M48" s="1" t="e" cm="1">
        <f t="array" ref="M48">SUMPRODUCT((tblTieBreakE1[[#This Row],[Group_Code]]=tblTieBreakE1[Group_Code])*(tblTieBreakE1[[#This Row],[Total_Goals_For]]&lt;tblTieBreakE1[Total_Goals_For]))+1</f>
        <v>#N/A</v>
      </c>
      <c r="N48" s="1" t="e">
        <f>VALUE(IF(LEN(tblTieBreakE1[[#This Row],[Group_Number]])&gt;0,1,2)&amp;tblTieBreakE1[[#This Row],[Rank_Points]]&amp;tblTieBreakE1[[#This Row],[Rank_Goal_Difference]]&amp;tblTieBreakE1[[#This Row],[Rank_Goals_For]])</f>
        <v>#N/A</v>
      </c>
      <c r="O48" s="1" t="e" cm="1">
        <f t="array" ref="O48">SUMPRODUCT((tblTieBreakE1[[#This Row],[Group_Code]]=tblTieBreakE1[Group_Code])*(tblTieBreakE1[[#This Row],[Rank_All_Value]]&gt;tblTieBreakE1[Rank_All_Value]))+1</f>
        <v>#N/A</v>
      </c>
    </row>
    <row r="49" spans="2:15" x14ac:dyDescent="0.25">
      <c r="B49" s="1">
        <v>2</v>
      </c>
      <c r="C49" s="1" t="s">
        <v>27</v>
      </c>
      <c r="D49" s="1">
        <f>_xlfn.MINIFS(tblGroupTieBreakRank[Point_Rank_TRUE],tblGroupTieBreakRank[Group_Code],tblTieBreakE1[[#This Row],[Group_Code]])</f>
        <v>0</v>
      </c>
      <c r="E49" s="1" t="e">
        <f>INDEX(tblGroupTieBreakRank[],MATCH(tblTieBreakE1[[#This Row],[Group_Code]]&amp;tblTieBreakE1[[#This Row],[Point_Rank]],tblGroupTieBreakRank[Rank_Code],0),MATCH("Count",tblGroupTieBreakRank[#Headers],0))</f>
        <v>#N/A</v>
      </c>
      <c r="F49" s="1" t="e">
        <f>INDEX(tblGroupTieBreakRank[],MATCH(tblTieBreakE1[[#This Row],[Group_Code]]&amp;tblTieBreakE1[[#This Row],[Point_Rank]],tblGroupTieBreakRank[Rank_Code],0),MATCH("Rank Team 2",tblGroupTieBreakRank[#Headers],0))</f>
        <v>#N/A</v>
      </c>
      <c r="G49" s="1" t="e">
        <f>IF(LEN(tblTieBreakE1[[#This Row],[Group_Number]])&gt;0,tblTieBreakE1[[#This Row],[Group_Code]]&amp;tblTieBreakE1[[#This Row],[Group_Number]],"")</f>
        <v>#N/A</v>
      </c>
      <c r="H49" s="1" t="e">
        <f>INDEX(tblGroupTieBreakRank[],MATCH(tblTieBreakE1[[#This Row],[Group_Code]]&amp;tblTieBreakE1[[#This Row],[Point_Rank]],tblGroupTieBreakRank[Rank_Code],0),MATCH("Total Points Team 2",tblGroupTieBreakRank[#Headers],0))</f>
        <v>#N/A</v>
      </c>
      <c r="I49" s="1" t="e">
        <f>INDEX(tblGroupTieBreakRank[],MATCH(tblTieBreakE1[[#This Row],[Group_Code]]&amp;tblTieBreakE1[[#This Row],[Point_Rank]],tblGroupTieBreakRank[Rank_Code],0),MATCH("Total Goal Difference Team 2",tblGroupTieBreakRank[#Headers],0))</f>
        <v>#N/A</v>
      </c>
      <c r="J49" s="1" t="e">
        <f>INDEX(tblGroupTieBreakRank[],MATCH(tblTieBreakE1[[#This Row],[Group_Code]]&amp;tblTieBreakE1[[#This Row],[Point_Rank]],tblGroupTieBreakRank[Rank_Code],0),MATCH("Total Goals For Team 2",tblGroupTieBreakRank[#Headers],0))</f>
        <v>#N/A</v>
      </c>
      <c r="K49" s="1" t="e" cm="1">
        <f t="array" ref="K49">SUMPRODUCT((tblTieBreakE1[[#This Row],[Group_Code]]=tblTieBreakE1[Group_Code])*(tblTieBreakE1[[#This Row],[Total_Points]]&lt;tblTieBreakE1[Total_Points]))+1</f>
        <v>#N/A</v>
      </c>
      <c r="L49" s="1" t="e" cm="1">
        <f t="array" ref="L49">SUMPRODUCT((tblTieBreakE1[[#This Row],[Group_Code]]=tblTieBreakE1[Group_Code])*(tblTieBreakE1[[#This Row],[Total_Goal_Difference]]&lt;tblTieBreakE1[Total_Goal_Difference]))+1</f>
        <v>#N/A</v>
      </c>
      <c r="M49" s="1" t="e" cm="1">
        <f t="array" ref="M49">SUMPRODUCT((tblTieBreakE1[[#This Row],[Group_Code]]=tblTieBreakE1[Group_Code])*(tblTieBreakE1[[#This Row],[Total_Goals_For]]&lt;tblTieBreakE1[Total_Goals_For]))+1</f>
        <v>#N/A</v>
      </c>
      <c r="N49" s="1" t="e">
        <f>VALUE(IF(LEN(tblTieBreakE1[[#This Row],[Group_Number]])&gt;0,1,2)&amp;tblTieBreakE1[[#This Row],[Rank_Points]]&amp;tblTieBreakE1[[#This Row],[Rank_Goal_Difference]]&amp;tblTieBreakE1[[#This Row],[Rank_Goals_For]])</f>
        <v>#N/A</v>
      </c>
      <c r="O49" s="1" t="e" cm="1">
        <f t="array" ref="O49">SUMPRODUCT((tblTieBreakE1[[#This Row],[Group_Code]]=tblTieBreakE1[Group_Code])*(tblTieBreakE1[[#This Row],[Rank_All_Value]]&gt;tblTieBreakE1[Rank_All_Value]))+1</f>
        <v>#N/A</v>
      </c>
    </row>
    <row r="50" spans="2:15" x14ac:dyDescent="0.25">
      <c r="B50" s="1">
        <v>3</v>
      </c>
      <c r="C50" s="1" t="s">
        <v>27</v>
      </c>
      <c r="D50" s="1">
        <f>_xlfn.MINIFS(tblGroupTieBreakRank[Point_Rank_TRUE],tblGroupTieBreakRank[Group_Code],tblTieBreakE1[[#This Row],[Group_Code]])</f>
        <v>0</v>
      </c>
      <c r="E50" s="1" t="e">
        <f>INDEX(tblGroupTieBreakRank[],MATCH(tblTieBreakE1[[#This Row],[Group_Code]]&amp;tblTieBreakE1[[#This Row],[Point_Rank]],tblGroupTieBreakRank[Rank_Code],0),MATCH("Count",tblGroupTieBreakRank[#Headers],0))</f>
        <v>#N/A</v>
      </c>
      <c r="F50" s="1" t="e">
        <f>IF(tblTieBreakE1[[#This Row],[Rank_Count]]=3,INDEX(tblGroupTieBreakRank[],MATCH(tblTieBreakE1[[#This Row],[Group_Code]]&amp;tblTieBreakE1[[#This Row],[Point_Rank]],tblGroupTieBreakRank[Rank_Code],0),MATCH("Rank Team 3",tblGroupTieBreakRank[#Headers],0)),"")</f>
        <v>#N/A</v>
      </c>
      <c r="G50" s="1" t="e">
        <f>IF(LEN(tblTieBreakE1[[#This Row],[Group_Number]])&gt;0,tblTieBreakE1[[#This Row],[Group_Code]]&amp;tblTieBreakE1[[#This Row],[Group_Number]],"")</f>
        <v>#N/A</v>
      </c>
      <c r="H50" s="1" t="e">
        <f>IF(tblTieBreakE1[[#This Row],[Rank_Count]]=3,INDEX(tblGroupTieBreakRank[],MATCH(tblTieBreakE1[[#This Row],[Group_Code]]&amp;tblTieBreakE1[[#This Row],[Point_Rank]],tblGroupTieBreakRank[Rank_Code],0),MATCH("Total Points Team 3",tblGroupTieBreakRank[#Headers],0)),"")</f>
        <v>#N/A</v>
      </c>
      <c r="I50" s="1" t="e">
        <f>IF(tblTieBreakE1[[#This Row],[Rank_Count]]=3,INDEX(tblGroupTieBreakRank[],MATCH(tblTieBreakE1[[#This Row],[Group_Code]]&amp;tblTieBreakE1[[#This Row],[Point_Rank]],tblGroupTieBreakRank[Rank_Code],0),MATCH("Total Goal Difference Team 3",tblGroupTieBreakRank[#Headers],0)),"")</f>
        <v>#N/A</v>
      </c>
      <c r="J50" s="1" t="e">
        <f>IF(tblTieBreakE1[[#This Row],[Rank_Count]]=3,INDEX(tblGroupTieBreakRank[],MATCH(tblTieBreakE1[[#This Row],[Group_Code]]&amp;tblTieBreakE1[[#This Row],[Point_Rank]],tblGroupTieBreakRank[Rank_Code],0),MATCH("Total Goals For Team 3",tblGroupTieBreakRank[#Headers],0)),"")</f>
        <v>#N/A</v>
      </c>
      <c r="K50" s="1" t="e" cm="1">
        <f t="array" ref="K50">SUMPRODUCT((tblTieBreakE1[[#This Row],[Group_Code]]=tblTieBreakE1[Group_Code])*(tblTieBreakE1[[#This Row],[Total_Points]]&lt;tblTieBreakE1[Total_Points]))+1</f>
        <v>#N/A</v>
      </c>
      <c r="L50" s="1" t="e" cm="1">
        <f t="array" ref="L50">SUMPRODUCT((tblTieBreakE1[[#This Row],[Group_Code]]=tblTieBreakE1[Group_Code])*(tblTieBreakE1[[#This Row],[Total_Goal_Difference]]&lt;tblTieBreakE1[Total_Goal_Difference]))+1</f>
        <v>#N/A</v>
      </c>
      <c r="M50" s="1" t="e" cm="1">
        <f t="array" ref="M50">SUMPRODUCT((tblTieBreakE1[[#This Row],[Group_Code]]=tblTieBreakE1[Group_Code])*(tblTieBreakE1[[#This Row],[Total_Goals_For]]&lt;tblTieBreakE1[Total_Goals_For]))+1</f>
        <v>#N/A</v>
      </c>
      <c r="N50" s="1" t="e">
        <f>VALUE(IF(LEN(tblTieBreakE1[[#This Row],[Group_Number]])&gt;0,1,2)&amp;tblTieBreakE1[[#This Row],[Rank_Points]]&amp;tblTieBreakE1[[#This Row],[Rank_Goal_Difference]]&amp;tblTieBreakE1[[#This Row],[Rank_Goals_For]])</f>
        <v>#N/A</v>
      </c>
      <c r="O50" s="1" t="e" cm="1">
        <f t="array" ref="O50">SUMPRODUCT((tblTieBreakE1[[#This Row],[Group_Code]]=tblTieBreakE1[Group_Code])*(tblTieBreakE1[[#This Row],[Rank_All_Value]]&gt;tblTieBreakE1[Rank_All_Value]))+1</f>
        <v>#N/A</v>
      </c>
    </row>
    <row r="52" spans="2:15" x14ac:dyDescent="0.25">
      <c r="B52" s="1" t="s">
        <v>286</v>
      </c>
      <c r="C52" s="1" t="s">
        <v>40</v>
      </c>
      <c r="D52" s="1" t="s">
        <v>240</v>
      </c>
      <c r="E52" s="1" t="s">
        <v>285</v>
      </c>
      <c r="F52" s="1" t="s">
        <v>35</v>
      </c>
      <c r="G52" s="1" t="s">
        <v>191</v>
      </c>
      <c r="H52" s="1" t="s">
        <v>212</v>
      </c>
      <c r="I52" s="1" t="s">
        <v>288</v>
      </c>
      <c r="J52" s="1" t="s">
        <v>213</v>
      </c>
      <c r="K52" s="1" t="s">
        <v>289</v>
      </c>
      <c r="L52" s="1" t="s">
        <v>290</v>
      </c>
      <c r="M52" s="1" t="s">
        <v>291</v>
      </c>
      <c r="N52" s="1" t="s">
        <v>292</v>
      </c>
      <c r="O52" s="1" t="s">
        <v>293</v>
      </c>
    </row>
    <row r="53" spans="2:15" x14ac:dyDescent="0.25">
      <c r="B53" s="1">
        <v>1</v>
      </c>
      <c r="C53" s="1" t="s">
        <v>27</v>
      </c>
      <c r="D53" s="1">
        <f>_xlfn.MAXIFS(tblGroupTieBreakRank[Point_Rank_TRUE],tblGroupTieBreakRank[Group_Code],tblTieBreakE2[[#This Row],[Group_Code]])</f>
        <v>0</v>
      </c>
      <c r="E53" s="1" t="e">
        <f>INDEX(tblGroupTieBreakRank[],MATCH(tblTieBreakE2[[#This Row],[Group_Code]]&amp;tblTieBreakE2[[#This Row],[Point_Rank]],tblGroupTieBreakRank[Rank_Code],0),MATCH("Count",tblGroupTieBreakRank[#Headers],0))</f>
        <v>#N/A</v>
      </c>
      <c r="F53" s="1" t="e">
        <f>INDEX(tblGroupTieBreakRank[],MATCH(tblTieBreakE2[[#This Row],[Group_Code]]&amp;tblTieBreakE2[[#This Row],[Point_Rank]],tblGroupTieBreakRank[Rank_Code],0),MATCH("Rank Team 1",tblGroupTieBreakRank[#Headers],0))</f>
        <v>#N/A</v>
      </c>
      <c r="G53" s="1" t="e">
        <f>IF(LEN(tblTieBreakE2[[#This Row],[Group_Number]])&gt;0,tblTieBreakE2[[#This Row],[Group_Code]]&amp;tblTieBreakE2[[#This Row],[Group_Number]],"")</f>
        <v>#N/A</v>
      </c>
      <c r="H53" s="1" t="e">
        <f>INDEX(tblGroupTieBreakRank[],MATCH(tblTieBreakE2[[#This Row],[Group_Code]]&amp;tblTieBreakE2[[#This Row],[Point_Rank]],tblGroupTieBreakRank[Rank_Code],0),MATCH("Total Points Team 1",tblGroupTieBreakRank[#Headers],0))</f>
        <v>#N/A</v>
      </c>
      <c r="I53" s="1" t="e">
        <f>INDEX(tblGroupTieBreakRank[],MATCH(tblTieBreakE2[[#This Row],[Group_Code]]&amp;tblTieBreakE2[[#This Row],[Point_Rank]],tblGroupTieBreakRank[Rank_Code],0),MATCH("Total Goal Difference Team 1",tblGroupTieBreakRank[#Headers],0))</f>
        <v>#N/A</v>
      </c>
      <c r="J53" s="1" t="e">
        <f>INDEX(tblGroupTieBreakRank[],MATCH(tblTieBreakE2[[#This Row],[Group_Code]]&amp;tblTieBreakE2[[#This Row],[Point_Rank]],tblGroupTieBreakRank[Rank_Code],0),MATCH("Total Goals For Team 1",tblGroupTieBreakRank[#Headers],0))</f>
        <v>#N/A</v>
      </c>
      <c r="K53" s="1" t="e" cm="1">
        <f t="array" ref="K53">SUMPRODUCT((tblTieBreakE2[[#This Row],[Group_Code]]=tblTieBreakE2[Group_Code])*(tblTieBreakE2[[#This Row],[Total_Points]]&lt;tblTieBreakE2[Total_Points]))+1</f>
        <v>#N/A</v>
      </c>
      <c r="L53" s="1" t="e" cm="1">
        <f t="array" ref="L53">SUMPRODUCT((tblTieBreakE2[[#This Row],[Group_Code]]=tblTieBreakE2[Group_Code])*(tblTieBreakE2[[#This Row],[Total_Goal_Difference]]&lt;tblTieBreakE2[Total_Goal_Difference]))+1</f>
        <v>#N/A</v>
      </c>
      <c r="M53" s="1" t="e" cm="1">
        <f t="array" ref="M53">SUMPRODUCT((tblTieBreakE2[[#This Row],[Group_Code]]=tblTieBreakE2[Group_Code])*(tblTieBreakE2[[#This Row],[Total_Goals_For]]&lt;tblTieBreakE2[Total_Goals_For]))+1</f>
        <v>#N/A</v>
      </c>
      <c r="N53" s="1" t="e">
        <f>VALUE(IF(LEN(tblTieBreakE2[[#This Row],[Group_Number]])&gt;0,1,2)&amp;tblTieBreakE2[[#This Row],[Rank_Points]]&amp;tblTieBreakE2[[#This Row],[Rank_Goal_Difference]]&amp;tblTieBreakE2[[#This Row],[Rank_Goals_For]])</f>
        <v>#N/A</v>
      </c>
      <c r="O53" s="1" t="e" cm="1">
        <f t="array" ref="O53">SUMPRODUCT((tblTieBreakE2[[#This Row],[Group_Code]]=tblTieBreakE2[Group_Code])*(tblTieBreakE2[[#This Row],[Rank_All_Value]]&gt;tblTieBreakE2[Rank_All_Value]))+1</f>
        <v>#N/A</v>
      </c>
    </row>
    <row r="54" spans="2:15" x14ac:dyDescent="0.25">
      <c r="B54" s="1">
        <v>2</v>
      </c>
      <c r="C54" s="1" t="s">
        <v>27</v>
      </c>
      <c r="D54" s="1">
        <f>_xlfn.MAXIFS(tblGroupTieBreakRank[Point_Rank_TRUE],tblGroupTieBreakRank[Group_Code],tblTieBreakE2[[#This Row],[Group_Code]])</f>
        <v>0</v>
      </c>
      <c r="E54" s="1" t="e">
        <f>INDEX(tblGroupTieBreakRank[],MATCH(tblTieBreakE2[[#This Row],[Group_Code]]&amp;tblTieBreakE2[[#This Row],[Point_Rank]],tblGroupTieBreakRank[Rank_Code],0),MATCH("Count",tblGroupTieBreakRank[#Headers],0))</f>
        <v>#N/A</v>
      </c>
      <c r="F54" s="1" t="e">
        <f>INDEX(tblGroupTieBreakRank[],MATCH(tblTieBreakE2[[#This Row],[Group_Code]]&amp;tblTieBreakE2[[#This Row],[Point_Rank]],tblGroupTieBreakRank[Rank_Code],0),MATCH("Rank Team 2",tblGroupTieBreakRank[#Headers],0))</f>
        <v>#N/A</v>
      </c>
      <c r="G54" s="1" t="e">
        <f>IF(LEN(tblTieBreakE2[[#This Row],[Group_Number]])&gt;0,tblTieBreakE2[[#This Row],[Group_Code]]&amp;tblTieBreakE2[[#This Row],[Group_Number]],"")</f>
        <v>#N/A</v>
      </c>
      <c r="H54" s="1" t="e">
        <f>INDEX(tblGroupTieBreakRank[],MATCH(tblTieBreakE2[[#This Row],[Group_Code]]&amp;tblTieBreakE2[[#This Row],[Point_Rank]],tblGroupTieBreakRank[Rank_Code],0),MATCH("Total Points Team 2",tblGroupTieBreakRank[#Headers],0))</f>
        <v>#N/A</v>
      </c>
      <c r="I54" s="1" t="e">
        <f>INDEX(tblGroupTieBreakRank[],MATCH(tblTieBreakE2[[#This Row],[Group_Code]]&amp;tblTieBreakE2[[#This Row],[Point_Rank]],tblGroupTieBreakRank[Rank_Code],0),MATCH("Total Goal Difference Team 2",tblGroupTieBreakRank[#Headers],0))</f>
        <v>#N/A</v>
      </c>
      <c r="J54" s="1" t="e">
        <f>INDEX(tblGroupTieBreakRank[],MATCH(tblTieBreakE2[[#This Row],[Group_Code]]&amp;tblTieBreakE2[[#This Row],[Point_Rank]],tblGroupTieBreakRank[Rank_Code],0),MATCH("Total Goals For Team 2",tblGroupTieBreakRank[#Headers],0))</f>
        <v>#N/A</v>
      </c>
      <c r="K54" s="1" t="e" cm="1">
        <f t="array" ref="K54">SUMPRODUCT((tblTieBreakE2[[#This Row],[Group_Code]]=tblTieBreakE2[Group_Code])*(tblTieBreakE2[[#This Row],[Total_Points]]&lt;tblTieBreakE2[Total_Points]))+1</f>
        <v>#N/A</v>
      </c>
      <c r="L54" s="1" t="e" cm="1">
        <f t="array" ref="L54">SUMPRODUCT((tblTieBreakE2[[#This Row],[Group_Code]]=tblTieBreakE2[Group_Code])*(tblTieBreakE2[[#This Row],[Total_Goal_Difference]]&lt;tblTieBreakE2[Total_Goal_Difference]))+1</f>
        <v>#N/A</v>
      </c>
      <c r="M54" s="1" t="e" cm="1">
        <f t="array" ref="M54">SUMPRODUCT((tblTieBreakE2[[#This Row],[Group_Code]]=tblTieBreakE2[Group_Code])*(tblTieBreakE2[[#This Row],[Total_Goals_For]]&lt;tblTieBreakE2[Total_Goals_For]))+1</f>
        <v>#N/A</v>
      </c>
      <c r="N54" s="1" t="e">
        <f>VALUE(IF(LEN(tblTieBreakE2[[#This Row],[Group_Number]])&gt;0,1,2)&amp;tblTieBreakE2[[#This Row],[Rank_Points]]&amp;tblTieBreakE2[[#This Row],[Rank_Goal_Difference]]&amp;tblTieBreakE2[[#This Row],[Rank_Goals_For]])</f>
        <v>#N/A</v>
      </c>
      <c r="O54" s="1" t="e" cm="1">
        <f t="array" ref="O54">SUMPRODUCT((tblTieBreakE2[[#This Row],[Group_Code]]=tblTieBreakE2[Group_Code])*(tblTieBreakE2[[#This Row],[Rank_All_Value]]&gt;tblTieBreakE2[Rank_All_Value]))+1</f>
        <v>#N/A</v>
      </c>
    </row>
    <row r="55" spans="2:15" x14ac:dyDescent="0.25">
      <c r="B55" s="1">
        <v>3</v>
      </c>
      <c r="C55" s="1" t="s">
        <v>27</v>
      </c>
      <c r="D55" s="1">
        <f>_xlfn.MAXIFS(tblGroupTieBreakRank[Point_Rank_TRUE],tblGroupTieBreakRank[Group_Code],tblTieBreakE2[[#This Row],[Group_Code]])</f>
        <v>0</v>
      </c>
      <c r="E55" s="1" t="e">
        <f>INDEX(tblGroupTieBreakRank[],MATCH(tblTieBreakE2[[#This Row],[Group_Code]]&amp;tblTieBreakE2[[#This Row],[Point_Rank]],tblGroupTieBreakRank[Rank_Code],0),MATCH("Count",tblGroupTieBreakRank[#Headers],0))</f>
        <v>#N/A</v>
      </c>
      <c r="F55" s="1" t="e">
        <f>IF(tblTieBreakE2[[#This Row],[Rank_Count]]=3,INDEX(tblGroupTieBreakRank[],MATCH(tblTieBreakE2[[#This Row],[Group_Code]]&amp;tblTieBreakE2[[#This Row],[Point_Rank]],tblGroupTieBreakRank[Rank_Code],0),MATCH("Rank Team 3",tblGroupTieBreakRank[#Headers],0)),"")</f>
        <v>#N/A</v>
      </c>
      <c r="G55" s="1" t="e">
        <f>IF(LEN(tblTieBreakE2[[#This Row],[Group_Number]])&gt;0,tblTieBreakE2[[#This Row],[Group_Code]]&amp;tblTieBreakE2[[#This Row],[Group_Number]],"")</f>
        <v>#N/A</v>
      </c>
      <c r="H55" s="1" t="e">
        <f>IF(tblTieBreakE2[[#This Row],[Rank_Count]]=3,INDEX(tblGroupTieBreakRank[],MATCH(tblTieBreakE2[[#This Row],[Group_Code]]&amp;tblTieBreakE2[[#This Row],[Point_Rank]],tblGroupTieBreakRank[Rank_Code],0),MATCH("Total Points Team 3",tblGroupTieBreakRank[#Headers],0)),"")</f>
        <v>#N/A</v>
      </c>
      <c r="I55" s="1" t="e">
        <f>IF(tblTieBreakE2[[#This Row],[Rank_Count]]=3,INDEX(tblGroupTieBreakRank[],MATCH(tblTieBreakE2[[#This Row],[Group_Code]]&amp;tblTieBreakE2[[#This Row],[Point_Rank]],tblGroupTieBreakRank[Rank_Code],0),MATCH("Total Goal Difference Team 3",tblGroupTieBreakRank[#Headers],0)),"")</f>
        <v>#N/A</v>
      </c>
      <c r="J55" s="1" t="e">
        <f>IF(tblTieBreakE2[[#This Row],[Rank_Count]]=3,INDEX(tblGroupTieBreakRank[],MATCH(tblTieBreakE2[[#This Row],[Group_Code]]&amp;tblTieBreakE2[[#This Row],[Point_Rank]],tblGroupTieBreakRank[Rank_Code],0),MATCH("Total Goals For Team 3",tblGroupTieBreakRank[#Headers],0)),"")</f>
        <v>#N/A</v>
      </c>
      <c r="K55" s="1" t="e" cm="1">
        <f t="array" ref="K55">SUMPRODUCT((tblTieBreakE2[[#This Row],[Group_Code]]=tblTieBreakE2[Group_Code])*(tblTieBreakE2[[#This Row],[Total_Points]]&lt;tblTieBreakE2[Total_Points]))+1</f>
        <v>#N/A</v>
      </c>
      <c r="L55" s="1" t="e" cm="1">
        <f t="array" ref="L55">SUMPRODUCT((tblTieBreakE2[[#This Row],[Group_Code]]=tblTieBreakE2[Group_Code])*(tblTieBreakE2[[#This Row],[Total_Goal_Difference]]&lt;tblTieBreakE2[Total_Goal_Difference]))+1</f>
        <v>#N/A</v>
      </c>
      <c r="M55" s="1" t="e" cm="1">
        <f t="array" ref="M55">SUMPRODUCT((tblTieBreakE2[[#This Row],[Group_Code]]=tblTieBreakE2[Group_Code])*(tblTieBreakE2[[#This Row],[Total_Goals_For]]&lt;tblTieBreakE2[Total_Goals_For]))+1</f>
        <v>#N/A</v>
      </c>
      <c r="N55" s="1" t="e">
        <f>VALUE(IF(LEN(tblTieBreakE2[[#This Row],[Group_Number]])&gt;0,1,2)&amp;tblTieBreakE2[[#This Row],[Rank_Points]]&amp;tblTieBreakE2[[#This Row],[Rank_Goal_Difference]]&amp;tblTieBreakE2[[#This Row],[Rank_Goals_For]])</f>
        <v>#N/A</v>
      </c>
      <c r="O55" s="1" t="e" cm="1">
        <f t="array" ref="O55">SUMPRODUCT((tblTieBreakE2[[#This Row],[Group_Code]]=tblTieBreakE2[Group_Code])*(tblTieBreakE2[[#This Row],[Rank_All_Value]]&gt;tblTieBreakE2[Rank_All_Value]))+1</f>
        <v>#N/A</v>
      </c>
    </row>
    <row r="57" spans="2:15" x14ac:dyDescent="0.25">
      <c r="B57" s="1" t="s">
        <v>32</v>
      </c>
    </row>
    <row r="58" spans="2:15" x14ac:dyDescent="0.25">
      <c r="B58" s="1" t="s">
        <v>286</v>
      </c>
      <c r="C58" s="1" t="s">
        <v>40</v>
      </c>
      <c r="D58" s="1" t="s">
        <v>240</v>
      </c>
      <c r="E58" s="1" t="s">
        <v>285</v>
      </c>
      <c r="F58" s="1" t="s">
        <v>35</v>
      </c>
      <c r="G58" s="1" t="s">
        <v>191</v>
      </c>
      <c r="H58" s="1" t="s">
        <v>212</v>
      </c>
      <c r="I58" s="1" t="s">
        <v>288</v>
      </c>
      <c r="J58" s="1" t="s">
        <v>213</v>
      </c>
      <c r="K58" s="1" t="s">
        <v>289</v>
      </c>
      <c r="L58" s="1" t="s">
        <v>290</v>
      </c>
      <c r="M58" s="1" t="s">
        <v>291</v>
      </c>
      <c r="N58" s="1" t="s">
        <v>292</v>
      </c>
      <c r="O58" s="1" t="s">
        <v>293</v>
      </c>
    </row>
    <row r="59" spans="2:15" x14ac:dyDescent="0.25">
      <c r="B59" s="1">
        <v>1</v>
      </c>
      <c r="C59" s="1" t="s">
        <v>32</v>
      </c>
      <c r="D59" s="1">
        <f>_xlfn.MINIFS(tblGroupTieBreakRank[Point_Rank_TRUE],tblGroupTieBreakRank[Group_Code],tblTieBreakF1[[#This Row],[Group_Code]])</f>
        <v>0</v>
      </c>
      <c r="E59" s="1" t="e">
        <f>INDEX(tblGroupTieBreakRank[],MATCH(tblTieBreakF1[[#This Row],[Group_Code]]&amp;tblTieBreakF1[[#This Row],[Point_Rank]],tblGroupTieBreakRank[Rank_Code],0),MATCH("Count",tblGroupTieBreakRank[#Headers],0))</f>
        <v>#N/A</v>
      </c>
      <c r="F59" s="1" t="e">
        <f>INDEX(tblGroupTieBreakRank[],MATCH(tblTieBreakF1[[#This Row],[Group_Code]]&amp;tblTieBreakF1[[#This Row],[Point_Rank]],tblGroupTieBreakRank[Rank_Code],0),MATCH("Rank Team 1",tblGroupTieBreakRank[#Headers],0))</f>
        <v>#N/A</v>
      </c>
      <c r="G59" s="1" t="e">
        <f>IF(LEN(tblTieBreakF1[[#This Row],[Group_Number]])&gt;0,tblTieBreakF1[[#This Row],[Group_Code]]&amp;tblTieBreakF1[[#This Row],[Group_Number]],"")</f>
        <v>#N/A</v>
      </c>
      <c r="H59" s="1" t="e">
        <f>INDEX(tblGroupTieBreakRank[],MATCH(tblTieBreakF1[[#This Row],[Group_Code]]&amp;tblTieBreakF1[[#This Row],[Point_Rank]],tblGroupTieBreakRank[Rank_Code],0),MATCH("Total Points Team 1",tblGroupTieBreakRank[#Headers],0))</f>
        <v>#N/A</v>
      </c>
      <c r="I59" s="1" t="e">
        <f>INDEX(tblGroupTieBreakRank[],MATCH(tblTieBreakF1[[#This Row],[Group_Code]]&amp;tblTieBreakF1[[#This Row],[Point_Rank]],tblGroupTieBreakRank[Rank_Code],0),MATCH("Total Goal Difference Team 1",tblGroupTieBreakRank[#Headers],0))</f>
        <v>#N/A</v>
      </c>
      <c r="J59" s="1" t="e">
        <f>INDEX(tblGroupTieBreakRank[],MATCH(tblTieBreakF1[[#This Row],[Group_Code]]&amp;tblTieBreakF1[[#This Row],[Point_Rank]],tblGroupTieBreakRank[Rank_Code],0),MATCH("Total Goals For Team 1",tblGroupTieBreakRank[#Headers],0))</f>
        <v>#N/A</v>
      </c>
      <c r="K59" s="1" t="e" cm="1">
        <f t="array" ref="K59">SUMPRODUCT((tblTieBreakF1[[#This Row],[Group_Code]]=tblTieBreakF1[Group_Code])*(tblTieBreakF1[[#This Row],[Total_Points]]&lt;tblTieBreakF1[Total_Points]))+1</f>
        <v>#N/A</v>
      </c>
      <c r="L59" s="1" t="e" cm="1">
        <f t="array" ref="L59">SUMPRODUCT((tblTieBreakF1[[#This Row],[Group_Code]]=tblTieBreakF1[Group_Code])*(tblTieBreakF1[[#This Row],[Total_Goal_Difference]]&lt;tblTieBreakF1[Total_Goal_Difference]))+1</f>
        <v>#N/A</v>
      </c>
      <c r="M59" s="1" t="e" cm="1">
        <f t="array" ref="M59">SUMPRODUCT((tblTieBreakF1[[#This Row],[Group_Code]]=tblTieBreakF1[Group_Code])*(tblTieBreakF1[[#This Row],[Total_Goals_For]]&lt;tblTieBreakF1[Total_Goals_For]))+1</f>
        <v>#N/A</v>
      </c>
      <c r="N59" s="1" t="e">
        <f>VALUE(IF(LEN(tblTieBreakF1[[#This Row],[Group_Number]])&gt;0,1,2)&amp;tblTieBreakF1[[#This Row],[Rank_Points]]&amp;tblTieBreakF1[[#This Row],[Rank_Goal_Difference]]&amp;tblTieBreakF1[[#This Row],[Rank_Goals_For]])</f>
        <v>#N/A</v>
      </c>
      <c r="O59" s="1" t="e" cm="1">
        <f t="array" ref="O59">SUMPRODUCT((tblTieBreakF1[[#This Row],[Group_Code]]=tblTieBreakF1[Group_Code])*(tblTieBreakF1[[#This Row],[Rank_All_Value]]&gt;tblTieBreakF1[Rank_All_Value]))+1</f>
        <v>#N/A</v>
      </c>
    </row>
    <row r="60" spans="2:15" x14ac:dyDescent="0.25">
      <c r="B60" s="1">
        <v>2</v>
      </c>
      <c r="C60" s="1" t="s">
        <v>32</v>
      </c>
      <c r="D60" s="1">
        <f>_xlfn.MINIFS(tblGroupTieBreakRank[Point_Rank_TRUE],tblGroupTieBreakRank[Group_Code],tblTieBreakF1[[#This Row],[Group_Code]])</f>
        <v>0</v>
      </c>
      <c r="E60" s="1" t="e">
        <f>INDEX(tblGroupTieBreakRank[],MATCH(tblTieBreakF1[[#This Row],[Group_Code]]&amp;tblTieBreakF1[[#This Row],[Point_Rank]],tblGroupTieBreakRank[Rank_Code],0),MATCH("Count",tblGroupTieBreakRank[#Headers],0))</f>
        <v>#N/A</v>
      </c>
      <c r="F60" s="1" t="e">
        <f>INDEX(tblGroupTieBreakRank[],MATCH(tblTieBreakF1[[#This Row],[Group_Code]]&amp;tblTieBreakF1[[#This Row],[Point_Rank]],tblGroupTieBreakRank[Rank_Code],0),MATCH("Rank Team 2",tblGroupTieBreakRank[#Headers],0))</f>
        <v>#N/A</v>
      </c>
      <c r="G60" s="1" t="e">
        <f>IF(LEN(tblTieBreakF1[[#This Row],[Group_Number]])&gt;0,tblTieBreakF1[[#This Row],[Group_Code]]&amp;tblTieBreakF1[[#This Row],[Group_Number]],"")</f>
        <v>#N/A</v>
      </c>
      <c r="H60" s="1" t="e">
        <f>INDEX(tblGroupTieBreakRank[],MATCH(tblTieBreakF1[[#This Row],[Group_Code]]&amp;tblTieBreakF1[[#This Row],[Point_Rank]],tblGroupTieBreakRank[Rank_Code],0),MATCH("Total Points Team 2",tblGroupTieBreakRank[#Headers],0))</f>
        <v>#N/A</v>
      </c>
      <c r="I60" s="1" t="e">
        <f>INDEX(tblGroupTieBreakRank[],MATCH(tblTieBreakF1[[#This Row],[Group_Code]]&amp;tblTieBreakF1[[#This Row],[Point_Rank]],tblGroupTieBreakRank[Rank_Code],0),MATCH("Total Goal Difference Team 2",tblGroupTieBreakRank[#Headers],0))</f>
        <v>#N/A</v>
      </c>
      <c r="J60" s="1" t="e">
        <f>INDEX(tblGroupTieBreakRank[],MATCH(tblTieBreakF1[[#This Row],[Group_Code]]&amp;tblTieBreakF1[[#This Row],[Point_Rank]],tblGroupTieBreakRank[Rank_Code],0),MATCH("Total Goals For Team 2",tblGroupTieBreakRank[#Headers],0))</f>
        <v>#N/A</v>
      </c>
      <c r="K60" s="1" t="e" cm="1">
        <f t="array" ref="K60">SUMPRODUCT((tblTieBreakF1[[#This Row],[Group_Code]]=tblTieBreakF1[Group_Code])*(tblTieBreakF1[[#This Row],[Total_Points]]&lt;tblTieBreakF1[Total_Points]))+1</f>
        <v>#N/A</v>
      </c>
      <c r="L60" s="1" t="e" cm="1">
        <f t="array" ref="L60">SUMPRODUCT((tblTieBreakF1[[#This Row],[Group_Code]]=tblTieBreakF1[Group_Code])*(tblTieBreakF1[[#This Row],[Total_Goal_Difference]]&lt;tblTieBreakF1[Total_Goal_Difference]))+1</f>
        <v>#N/A</v>
      </c>
      <c r="M60" s="1" t="e" cm="1">
        <f t="array" ref="M60">SUMPRODUCT((tblTieBreakF1[[#This Row],[Group_Code]]=tblTieBreakF1[Group_Code])*(tblTieBreakF1[[#This Row],[Total_Goals_For]]&lt;tblTieBreakF1[Total_Goals_For]))+1</f>
        <v>#N/A</v>
      </c>
      <c r="N60" s="1" t="e">
        <f>VALUE(IF(LEN(tblTieBreakF1[[#This Row],[Group_Number]])&gt;0,1,2)&amp;tblTieBreakF1[[#This Row],[Rank_Points]]&amp;tblTieBreakF1[[#This Row],[Rank_Goal_Difference]]&amp;tblTieBreakF1[[#This Row],[Rank_Goals_For]])</f>
        <v>#N/A</v>
      </c>
      <c r="O60" s="1" t="e" cm="1">
        <f t="array" ref="O60">SUMPRODUCT((tblTieBreakF1[[#This Row],[Group_Code]]=tblTieBreakF1[Group_Code])*(tblTieBreakF1[[#This Row],[Rank_All_Value]]&gt;tblTieBreakF1[Rank_All_Value]))+1</f>
        <v>#N/A</v>
      </c>
    </row>
    <row r="61" spans="2:15" x14ac:dyDescent="0.25">
      <c r="B61" s="1">
        <v>3</v>
      </c>
      <c r="C61" s="1" t="s">
        <v>32</v>
      </c>
      <c r="D61" s="1">
        <f>_xlfn.MINIFS(tblGroupTieBreakRank[Point_Rank_TRUE],tblGroupTieBreakRank[Group_Code],tblTieBreakF1[[#This Row],[Group_Code]])</f>
        <v>0</v>
      </c>
      <c r="E61" s="1" t="e">
        <f>INDEX(tblGroupTieBreakRank[],MATCH(tblTieBreakF1[[#This Row],[Group_Code]]&amp;tblTieBreakF1[[#This Row],[Point_Rank]],tblGroupTieBreakRank[Rank_Code],0),MATCH("Count",tblGroupTieBreakRank[#Headers],0))</f>
        <v>#N/A</v>
      </c>
      <c r="F61" s="1" t="e">
        <f>IF(tblTieBreakF1[[#This Row],[Rank_Count]]=3,INDEX(tblGroupTieBreakRank[],MATCH(tblTieBreakF1[[#This Row],[Group_Code]]&amp;tblTieBreakF1[[#This Row],[Point_Rank]],tblGroupTieBreakRank[Rank_Code],0),MATCH("Rank Team 3",tblGroupTieBreakRank[#Headers],0)),"")</f>
        <v>#N/A</v>
      </c>
      <c r="G61" s="1" t="e">
        <f>IF(LEN(tblTieBreakF1[[#This Row],[Group_Number]])&gt;0,tblTieBreakF1[[#This Row],[Group_Code]]&amp;tblTieBreakF1[[#This Row],[Group_Number]],"")</f>
        <v>#N/A</v>
      </c>
      <c r="H61" s="1" t="e">
        <f>IF(tblTieBreakF1[[#This Row],[Rank_Count]]=3,INDEX(tblGroupTieBreakRank[],MATCH(tblTieBreakF1[[#This Row],[Group_Code]]&amp;tblTieBreakF1[[#This Row],[Point_Rank]],tblGroupTieBreakRank[Rank_Code],0),MATCH("Total Points Team 3",tblGroupTieBreakRank[#Headers],0)),"")</f>
        <v>#N/A</v>
      </c>
      <c r="I61" s="1" t="e">
        <f>IF(tblTieBreakF1[[#This Row],[Rank_Count]]=3,INDEX(tblGroupTieBreakRank[],MATCH(tblTieBreakF1[[#This Row],[Group_Code]]&amp;tblTieBreakF1[[#This Row],[Point_Rank]],tblGroupTieBreakRank[Rank_Code],0),MATCH("Total Goal Difference Team 3",tblGroupTieBreakRank[#Headers],0)),"")</f>
        <v>#N/A</v>
      </c>
      <c r="J61" s="1" t="e">
        <f>IF(tblTieBreakF1[[#This Row],[Rank_Count]]=3,INDEX(tblGroupTieBreakRank[],MATCH(tblTieBreakF1[[#This Row],[Group_Code]]&amp;tblTieBreakF1[[#This Row],[Point_Rank]],tblGroupTieBreakRank[Rank_Code],0),MATCH("Total Goals For Team 3",tblGroupTieBreakRank[#Headers],0)),"")</f>
        <v>#N/A</v>
      </c>
      <c r="K61" s="1" t="e" cm="1">
        <f t="array" ref="K61">SUMPRODUCT((tblTieBreakF1[[#This Row],[Group_Code]]=tblTieBreakF1[Group_Code])*(tblTieBreakF1[[#This Row],[Total_Points]]&lt;tblTieBreakF1[Total_Points]))+1</f>
        <v>#N/A</v>
      </c>
      <c r="L61" s="1" t="e" cm="1">
        <f t="array" ref="L61">SUMPRODUCT((tblTieBreakF1[[#This Row],[Group_Code]]=tblTieBreakF1[Group_Code])*(tblTieBreakF1[[#This Row],[Total_Goal_Difference]]&lt;tblTieBreakF1[Total_Goal_Difference]))+1</f>
        <v>#N/A</v>
      </c>
      <c r="M61" s="1" t="e" cm="1">
        <f t="array" ref="M61">SUMPRODUCT((tblTieBreakF1[[#This Row],[Group_Code]]=tblTieBreakF1[Group_Code])*(tblTieBreakF1[[#This Row],[Total_Goals_For]]&lt;tblTieBreakF1[Total_Goals_For]))+1</f>
        <v>#N/A</v>
      </c>
      <c r="N61" s="1" t="e">
        <f>VALUE(IF(LEN(tblTieBreakF1[[#This Row],[Group_Number]])&gt;0,1,2)&amp;tblTieBreakF1[[#This Row],[Rank_Points]]&amp;tblTieBreakF1[[#This Row],[Rank_Goal_Difference]]&amp;tblTieBreakF1[[#This Row],[Rank_Goals_For]])</f>
        <v>#N/A</v>
      </c>
      <c r="O61" s="1" t="e" cm="1">
        <f t="array" ref="O61">SUMPRODUCT((tblTieBreakF1[[#This Row],[Group_Code]]=tblTieBreakF1[Group_Code])*(tblTieBreakF1[[#This Row],[Rank_All_Value]]&gt;tblTieBreakF1[Rank_All_Value]))+1</f>
        <v>#N/A</v>
      </c>
    </row>
    <row r="63" spans="2:15" x14ac:dyDescent="0.25">
      <c r="B63" s="1" t="s">
        <v>286</v>
      </c>
      <c r="C63" s="1" t="s">
        <v>40</v>
      </c>
      <c r="D63" s="1" t="s">
        <v>240</v>
      </c>
      <c r="E63" s="1" t="s">
        <v>285</v>
      </c>
      <c r="F63" s="1" t="s">
        <v>35</v>
      </c>
      <c r="G63" s="1" t="s">
        <v>191</v>
      </c>
      <c r="H63" s="1" t="s">
        <v>212</v>
      </c>
      <c r="I63" s="1" t="s">
        <v>288</v>
      </c>
      <c r="J63" s="1" t="s">
        <v>213</v>
      </c>
      <c r="K63" s="1" t="s">
        <v>289</v>
      </c>
      <c r="L63" s="1" t="s">
        <v>290</v>
      </c>
      <c r="M63" s="1" t="s">
        <v>291</v>
      </c>
      <c r="N63" s="1" t="s">
        <v>292</v>
      </c>
      <c r="O63" s="1" t="s">
        <v>293</v>
      </c>
    </row>
    <row r="64" spans="2:15" x14ac:dyDescent="0.25">
      <c r="B64" s="1">
        <v>1</v>
      </c>
      <c r="C64" s="1" t="s">
        <v>32</v>
      </c>
      <c r="D64" s="1">
        <f>_xlfn.MAXIFS(tblGroupTieBreakRank[Point_Rank_TRUE],tblGroupTieBreakRank[Group_Code],tblTieBreakF2[[#This Row],[Group_Code]])</f>
        <v>0</v>
      </c>
      <c r="E64" s="1" t="e">
        <f>INDEX(tblGroupTieBreakRank[],MATCH(tblTieBreakF2[[#This Row],[Group_Code]]&amp;tblTieBreakF2[[#This Row],[Point_Rank]],tblGroupTieBreakRank[Rank_Code],0),MATCH("Count",tblGroupTieBreakRank[#Headers],0))</f>
        <v>#N/A</v>
      </c>
      <c r="F64" s="1" t="e">
        <f>INDEX(tblGroupTieBreakRank[],MATCH(tblTieBreakF2[[#This Row],[Group_Code]]&amp;tblTieBreakF2[[#This Row],[Point_Rank]],tblGroupTieBreakRank[Rank_Code],0),MATCH("Rank Team 1",tblGroupTieBreakRank[#Headers],0))</f>
        <v>#N/A</v>
      </c>
      <c r="G64" s="1" t="e">
        <f>IF(LEN(tblTieBreakF2[[#This Row],[Group_Number]])&gt;0,tblTieBreakF2[[#This Row],[Group_Code]]&amp;tblTieBreakF2[[#This Row],[Group_Number]],"")</f>
        <v>#N/A</v>
      </c>
      <c r="H64" s="1" t="e">
        <f>INDEX(tblGroupTieBreakRank[],MATCH(tblTieBreakF2[[#This Row],[Group_Code]]&amp;tblTieBreakF2[[#This Row],[Point_Rank]],tblGroupTieBreakRank[Rank_Code],0),MATCH("Total Points Team 1",tblGroupTieBreakRank[#Headers],0))</f>
        <v>#N/A</v>
      </c>
      <c r="I64" s="1" t="e">
        <f>INDEX(tblGroupTieBreakRank[],MATCH(tblTieBreakF2[[#This Row],[Group_Code]]&amp;tblTieBreakF2[[#This Row],[Point_Rank]],tblGroupTieBreakRank[Rank_Code],0),MATCH("Total Goal Difference Team 1",tblGroupTieBreakRank[#Headers],0))</f>
        <v>#N/A</v>
      </c>
      <c r="J64" s="1" t="e">
        <f>INDEX(tblGroupTieBreakRank[],MATCH(tblTieBreakF2[[#This Row],[Group_Code]]&amp;tblTieBreakF2[[#This Row],[Point_Rank]],tblGroupTieBreakRank[Rank_Code],0),MATCH("Total Goals For Team 1",tblGroupTieBreakRank[#Headers],0))</f>
        <v>#N/A</v>
      </c>
      <c r="K64" s="1" t="e" cm="1">
        <f t="array" ref="K64">SUMPRODUCT((tblTieBreakF2[[#This Row],[Group_Code]]=tblTieBreakF2[Group_Code])*(tblTieBreakF2[[#This Row],[Total_Points]]&lt;tblTieBreakF2[Total_Points]))+1</f>
        <v>#N/A</v>
      </c>
      <c r="L64" s="1" t="e" cm="1">
        <f t="array" ref="L64">SUMPRODUCT((tblTieBreakF2[[#This Row],[Group_Code]]=tblTieBreakF2[Group_Code])*(tblTieBreakF2[[#This Row],[Total_Goal_Difference]]&lt;tblTieBreakF2[Total_Goal_Difference]))+1</f>
        <v>#N/A</v>
      </c>
      <c r="M64" s="1" t="e" cm="1">
        <f t="array" ref="M64">SUMPRODUCT((tblTieBreakF2[[#This Row],[Group_Code]]=tblTieBreakF2[Group_Code])*(tblTieBreakF2[[#This Row],[Total_Goals_For]]&lt;tblTieBreakF2[Total_Goals_For]))+1</f>
        <v>#N/A</v>
      </c>
      <c r="N64" s="1" t="e">
        <f>VALUE(IF(LEN(tblTieBreakF2[[#This Row],[Group_Number]])&gt;0,1,2)&amp;tblTieBreakF2[[#This Row],[Rank_Points]]&amp;tblTieBreakF2[[#This Row],[Rank_Goal_Difference]]&amp;tblTieBreakF2[[#This Row],[Rank_Goals_For]])</f>
        <v>#N/A</v>
      </c>
      <c r="O64" s="1" t="e" cm="1">
        <f t="array" ref="O64">SUMPRODUCT((tblTieBreakF2[[#This Row],[Group_Code]]=tblTieBreakF2[Group_Code])*(tblTieBreakF2[[#This Row],[Rank_All_Value]]&gt;tblTieBreakF2[Rank_All_Value]))+1</f>
        <v>#N/A</v>
      </c>
    </row>
    <row r="65" spans="2:15" x14ac:dyDescent="0.25">
      <c r="B65" s="1">
        <v>2</v>
      </c>
      <c r="C65" s="1" t="s">
        <v>32</v>
      </c>
      <c r="D65" s="1">
        <f>_xlfn.MAXIFS(tblGroupTieBreakRank[Point_Rank_TRUE],tblGroupTieBreakRank[Group_Code],tblTieBreakF2[[#This Row],[Group_Code]])</f>
        <v>0</v>
      </c>
      <c r="E65" s="1" t="e">
        <f>INDEX(tblGroupTieBreakRank[],MATCH(tblTieBreakF2[[#This Row],[Group_Code]]&amp;tblTieBreakF2[[#This Row],[Point_Rank]],tblGroupTieBreakRank[Rank_Code],0),MATCH("Count",tblGroupTieBreakRank[#Headers],0))</f>
        <v>#N/A</v>
      </c>
      <c r="F65" s="1" t="e">
        <f>INDEX(tblGroupTieBreakRank[],MATCH(tblTieBreakF2[[#This Row],[Group_Code]]&amp;tblTieBreakF2[[#This Row],[Point_Rank]],tblGroupTieBreakRank[Rank_Code],0),MATCH("Rank Team 2",tblGroupTieBreakRank[#Headers],0))</f>
        <v>#N/A</v>
      </c>
      <c r="G65" s="1" t="e">
        <f>IF(LEN(tblTieBreakF2[[#This Row],[Group_Number]])&gt;0,tblTieBreakF2[[#This Row],[Group_Code]]&amp;tblTieBreakF2[[#This Row],[Group_Number]],"")</f>
        <v>#N/A</v>
      </c>
      <c r="H65" s="1" t="e">
        <f>INDEX(tblGroupTieBreakRank[],MATCH(tblTieBreakF2[[#This Row],[Group_Code]]&amp;tblTieBreakF2[[#This Row],[Point_Rank]],tblGroupTieBreakRank[Rank_Code],0),MATCH("Total Points Team 2",tblGroupTieBreakRank[#Headers],0))</f>
        <v>#N/A</v>
      </c>
      <c r="I65" s="1" t="e">
        <f>INDEX(tblGroupTieBreakRank[],MATCH(tblTieBreakF2[[#This Row],[Group_Code]]&amp;tblTieBreakF2[[#This Row],[Point_Rank]],tblGroupTieBreakRank[Rank_Code],0),MATCH("Total Goal Difference Team 2",tblGroupTieBreakRank[#Headers],0))</f>
        <v>#N/A</v>
      </c>
      <c r="J65" s="1" t="e">
        <f>INDEX(tblGroupTieBreakRank[],MATCH(tblTieBreakF2[[#This Row],[Group_Code]]&amp;tblTieBreakF2[[#This Row],[Point_Rank]],tblGroupTieBreakRank[Rank_Code],0),MATCH("Total Goals For Team 2",tblGroupTieBreakRank[#Headers],0))</f>
        <v>#N/A</v>
      </c>
      <c r="K65" s="1" t="e" cm="1">
        <f t="array" ref="K65">SUMPRODUCT((tblTieBreakF2[[#This Row],[Group_Code]]=tblTieBreakF2[Group_Code])*(tblTieBreakF2[[#This Row],[Total_Points]]&lt;tblTieBreakF2[Total_Points]))+1</f>
        <v>#N/A</v>
      </c>
      <c r="L65" s="1" t="e" cm="1">
        <f t="array" ref="L65">SUMPRODUCT((tblTieBreakF2[[#This Row],[Group_Code]]=tblTieBreakF2[Group_Code])*(tblTieBreakF2[[#This Row],[Total_Goal_Difference]]&lt;tblTieBreakF2[Total_Goal_Difference]))+1</f>
        <v>#N/A</v>
      </c>
      <c r="M65" s="1" t="e" cm="1">
        <f t="array" ref="M65">SUMPRODUCT((tblTieBreakF2[[#This Row],[Group_Code]]=tblTieBreakF2[Group_Code])*(tblTieBreakF2[[#This Row],[Total_Goals_For]]&lt;tblTieBreakF2[Total_Goals_For]))+1</f>
        <v>#N/A</v>
      </c>
      <c r="N65" s="1" t="e">
        <f>VALUE(IF(LEN(tblTieBreakF2[[#This Row],[Group_Number]])&gt;0,1,2)&amp;tblTieBreakF2[[#This Row],[Rank_Points]]&amp;tblTieBreakF2[[#This Row],[Rank_Goal_Difference]]&amp;tblTieBreakF2[[#This Row],[Rank_Goals_For]])</f>
        <v>#N/A</v>
      </c>
      <c r="O65" s="1" t="e" cm="1">
        <f t="array" ref="O65">SUMPRODUCT((tblTieBreakF2[[#This Row],[Group_Code]]=tblTieBreakF2[Group_Code])*(tblTieBreakF2[[#This Row],[Rank_All_Value]]&gt;tblTieBreakF2[Rank_All_Value]))+1</f>
        <v>#N/A</v>
      </c>
    </row>
    <row r="66" spans="2:15" x14ac:dyDescent="0.25">
      <c r="B66" s="1">
        <v>3</v>
      </c>
      <c r="C66" s="1" t="s">
        <v>32</v>
      </c>
      <c r="D66" s="1">
        <f>_xlfn.MAXIFS(tblGroupTieBreakRank[Point_Rank_TRUE],tblGroupTieBreakRank[Group_Code],tblTieBreakF2[[#This Row],[Group_Code]])</f>
        <v>0</v>
      </c>
      <c r="E66" s="1" t="e">
        <f>INDEX(tblGroupTieBreakRank[],MATCH(tblTieBreakF2[[#This Row],[Group_Code]]&amp;tblTieBreakF2[[#This Row],[Point_Rank]],tblGroupTieBreakRank[Rank_Code],0),MATCH("Count",tblGroupTieBreakRank[#Headers],0))</f>
        <v>#N/A</v>
      </c>
      <c r="F66" s="1" t="e">
        <f>IF(tblTieBreakF2[[#This Row],[Rank_Count]]=3,INDEX(tblGroupTieBreakRank[],MATCH(tblTieBreakF2[[#This Row],[Group_Code]]&amp;tblTieBreakF2[[#This Row],[Point_Rank]],tblGroupTieBreakRank[Rank_Code],0),MATCH("Rank Team 3",tblGroupTieBreakRank[#Headers],0)),"")</f>
        <v>#N/A</v>
      </c>
      <c r="G66" s="1" t="e">
        <f>IF(LEN(tblTieBreakF2[[#This Row],[Group_Number]])&gt;0,tblTieBreakF2[[#This Row],[Group_Code]]&amp;tblTieBreakF2[[#This Row],[Group_Number]],"")</f>
        <v>#N/A</v>
      </c>
      <c r="H66" s="1" t="e">
        <f>IF(tblTieBreakF2[[#This Row],[Rank_Count]]=3,INDEX(tblGroupTieBreakRank[],MATCH(tblTieBreakF2[[#This Row],[Group_Code]]&amp;tblTieBreakF2[[#This Row],[Point_Rank]],tblGroupTieBreakRank[Rank_Code],0),MATCH("Total Points Team 3",tblGroupTieBreakRank[#Headers],0)),"")</f>
        <v>#N/A</v>
      </c>
      <c r="I66" s="1" t="e">
        <f>IF(tblTieBreakF2[[#This Row],[Rank_Count]]=3,INDEX(tblGroupTieBreakRank[],MATCH(tblTieBreakF2[[#This Row],[Group_Code]]&amp;tblTieBreakF2[[#This Row],[Point_Rank]],tblGroupTieBreakRank[Rank_Code],0),MATCH("Total Goal Difference Team 3",tblGroupTieBreakRank[#Headers],0)),"")</f>
        <v>#N/A</v>
      </c>
      <c r="J66" s="1" t="e">
        <f>IF(tblTieBreakF2[[#This Row],[Rank_Count]]=3,INDEX(tblGroupTieBreakRank[],MATCH(tblTieBreakF2[[#This Row],[Group_Code]]&amp;tblTieBreakF2[[#This Row],[Point_Rank]],tblGroupTieBreakRank[Rank_Code],0),MATCH("Total Goals For Team 3",tblGroupTieBreakRank[#Headers],0)),"")</f>
        <v>#N/A</v>
      </c>
      <c r="K66" s="1" t="e" cm="1">
        <f t="array" ref="K66">SUMPRODUCT((tblTieBreakF2[[#This Row],[Group_Code]]=tblTieBreakF2[Group_Code])*(tblTieBreakF2[[#This Row],[Total_Points]]&lt;tblTieBreakF2[Total_Points]))+1</f>
        <v>#N/A</v>
      </c>
      <c r="L66" s="1" t="e" cm="1">
        <f t="array" ref="L66">SUMPRODUCT((tblTieBreakF2[[#This Row],[Group_Code]]=tblTieBreakF2[Group_Code])*(tblTieBreakF2[[#This Row],[Total_Goal_Difference]]&lt;tblTieBreakF2[Total_Goal_Difference]))+1</f>
        <v>#N/A</v>
      </c>
      <c r="M66" s="1" t="e" cm="1">
        <f t="array" ref="M66">SUMPRODUCT((tblTieBreakF2[[#This Row],[Group_Code]]=tblTieBreakF2[Group_Code])*(tblTieBreakF2[[#This Row],[Total_Goals_For]]&lt;tblTieBreakF2[Total_Goals_For]))+1</f>
        <v>#N/A</v>
      </c>
      <c r="N66" s="1" t="e">
        <f>VALUE(IF(LEN(tblTieBreakF2[[#This Row],[Group_Number]])&gt;0,1,2)&amp;tblTieBreakF2[[#This Row],[Rank_Points]]&amp;tblTieBreakF2[[#This Row],[Rank_Goal_Difference]]&amp;tblTieBreakF2[[#This Row],[Rank_Goals_For]])</f>
        <v>#N/A</v>
      </c>
      <c r="O66" s="1" t="e" cm="1">
        <f t="array" ref="O66">SUMPRODUCT((tblTieBreakF2[[#This Row],[Group_Code]]=tblTieBreakF2[Group_Code])*(tblTieBreakF2[[#This Row],[Rank_All_Value]]&gt;tblTieBreakF2[Rank_All_Value]))+1</f>
        <v>#N/A</v>
      </c>
    </row>
  </sheetData>
  <pageMargins left="0.7" right="0.7" top="0.75" bottom="0.75" header="0.3" footer="0.3"/>
  <tableParts count="12">
    <tablePart r:id="rId1"/>
    <tablePart r:id="rId2"/>
    <tablePart r:id="rId3"/>
    <tablePart r:id="rId4"/>
    <tablePart r:id="rId5"/>
    <tablePart r:id="rId6"/>
    <tablePart r:id="rId7"/>
    <tablePart r:id="rId8"/>
    <tablePart r:id="rId9"/>
    <tablePart r:id="rId10"/>
    <tablePart r:id="rId11"/>
    <tablePart r:id="rId1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8E81D-E7CD-48E4-AFB4-7A76CD14A612}">
  <dimension ref="B2:AW17"/>
  <sheetViews>
    <sheetView topLeftCell="M1" zoomScale="85" zoomScaleNormal="85" workbookViewId="0">
      <selection activeCell="O5" sqref="O5"/>
    </sheetView>
  </sheetViews>
  <sheetFormatPr defaultRowHeight="15" x14ac:dyDescent="0.25"/>
  <cols>
    <col min="1" max="1" width="9.140625" style="1"/>
    <col min="2" max="2" width="18.85546875" style="1" customWidth="1"/>
    <col min="3" max="3" width="16.5703125" style="1" bestFit="1" customWidth="1"/>
    <col min="4" max="4" width="14.7109375" style="1" customWidth="1"/>
    <col min="5" max="5" width="14.140625" style="1" customWidth="1"/>
    <col min="6" max="6" width="17.7109375" style="1" customWidth="1"/>
    <col min="7" max="7" width="17.42578125" style="1" customWidth="1"/>
    <col min="8" max="8" width="21.140625" style="1" customWidth="1"/>
    <col min="9" max="9" width="13.140625" style="1" customWidth="1"/>
    <col min="10" max="10" width="14" style="1" customWidth="1"/>
    <col min="11" max="11" width="13.42578125" style="1" customWidth="1"/>
    <col min="12" max="12" width="20.5703125" style="1" customWidth="1"/>
    <col min="13" max="13" width="17.85546875" style="1" customWidth="1"/>
    <col min="14" max="15" width="24.5703125" style="1" customWidth="1"/>
    <col min="16" max="16" width="14.140625" style="1" bestFit="1" customWidth="1"/>
    <col min="17" max="17" width="23.42578125" style="1" bestFit="1" customWidth="1"/>
    <col min="18" max="18" width="17.5703125" style="1" bestFit="1" customWidth="1"/>
    <col min="19" max="19" width="13.28515625" style="1" bestFit="1" customWidth="1"/>
    <col min="20" max="20" width="19" style="1" bestFit="1" customWidth="1"/>
    <col min="21" max="21" width="16.5703125" style="1" bestFit="1" customWidth="1"/>
    <col min="22" max="22" width="26.7109375" style="1" customWidth="1"/>
    <col min="23" max="24" width="19.85546875" style="1" bestFit="1" customWidth="1"/>
    <col min="25" max="25" width="25.42578125" style="1" bestFit="1" customWidth="1"/>
    <col min="26" max="26" width="14.7109375" style="1" bestFit="1" customWidth="1"/>
    <col min="27" max="27" width="20.42578125" style="1" bestFit="1" customWidth="1"/>
    <col min="28" max="28" width="21.42578125" style="1" bestFit="1" customWidth="1"/>
    <col min="29" max="29" width="14.42578125" style="1" bestFit="1" customWidth="1"/>
    <col min="30" max="31" width="9.140625" style="1"/>
    <col min="32" max="32" width="9.42578125" style="1" bestFit="1" customWidth="1"/>
    <col min="33" max="34" width="8.7109375" style="1" bestFit="1" customWidth="1"/>
    <col min="35" max="35" width="8.5703125" style="1" bestFit="1" customWidth="1"/>
    <col min="36" max="36" width="8.85546875" style="1" bestFit="1" customWidth="1"/>
    <col min="37" max="38" width="8.5703125" style="1" bestFit="1" customWidth="1"/>
    <col min="39" max="44" width="9.140625" style="1"/>
    <col min="45" max="45" width="14.42578125" style="1" bestFit="1" customWidth="1"/>
    <col min="46" max="16384" width="9.140625" style="1"/>
  </cols>
  <sheetData>
    <row r="2" spans="2:49" s="16" customFormat="1" x14ac:dyDescent="0.25">
      <c r="B2" s="16" t="s">
        <v>308</v>
      </c>
      <c r="C2" s="16" t="s">
        <v>39</v>
      </c>
      <c r="D2" s="16" t="s">
        <v>315</v>
      </c>
      <c r="E2" s="16" t="s">
        <v>212</v>
      </c>
      <c r="F2" s="16" t="s">
        <v>298</v>
      </c>
      <c r="G2" s="16" t="s">
        <v>213</v>
      </c>
      <c r="H2" s="16" t="s">
        <v>214</v>
      </c>
      <c r="I2" s="16" t="s">
        <v>299</v>
      </c>
      <c r="J2" s="16" t="s">
        <v>316</v>
      </c>
      <c r="K2" s="16" t="s">
        <v>317</v>
      </c>
      <c r="L2" s="16" t="s">
        <v>215</v>
      </c>
      <c r="M2" s="16" t="s">
        <v>216</v>
      </c>
      <c r="N2" s="16" t="s">
        <v>218</v>
      </c>
      <c r="O2" s="16" t="s">
        <v>414</v>
      </c>
      <c r="P2" s="16" t="s">
        <v>415</v>
      </c>
      <c r="Q2" s="16" t="s">
        <v>300</v>
      </c>
      <c r="R2" s="16" t="s">
        <v>416</v>
      </c>
      <c r="S2" s="16" t="s">
        <v>417</v>
      </c>
      <c r="T2" s="16" t="s">
        <v>418</v>
      </c>
      <c r="U2" s="16" t="s">
        <v>413</v>
      </c>
      <c r="V2" s="16" t="s">
        <v>306</v>
      </c>
      <c r="W2" s="16" t="s">
        <v>419</v>
      </c>
      <c r="X2" s="16" t="s">
        <v>423</v>
      </c>
      <c r="Y2" s="16" t="s">
        <v>424</v>
      </c>
      <c r="Z2" s="16" t="s">
        <v>425</v>
      </c>
      <c r="AA2" s="16" t="s">
        <v>368</v>
      </c>
      <c r="AB2" s="16" t="s">
        <v>370</v>
      </c>
      <c r="AC2" s="16" t="s">
        <v>40</v>
      </c>
      <c r="AF2" s="5" t="s">
        <v>430</v>
      </c>
      <c r="AG2" s="5" t="s">
        <v>198</v>
      </c>
      <c r="AH2" s="5" t="s">
        <v>221</v>
      </c>
      <c r="AI2" s="5" t="s">
        <v>225</v>
      </c>
      <c r="AJ2" s="5" t="s">
        <v>229</v>
      </c>
      <c r="AK2" s="5" t="s">
        <v>233</v>
      </c>
      <c r="AL2" s="5" t="s">
        <v>237</v>
      </c>
      <c r="AM2" s="5" t="s">
        <v>26</v>
      </c>
      <c r="AN2" s="5" t="s">
        <v>30</v>
      </c>
      <c r="AO2" s="5" t="s">
        <v>33</v>
      </c>
      <c r="AP2" s="5" t="s">
        <v>34</v>
      </c>
      <c r="AQ2" s="5" t="s">
        <v>27</v>
      </c>
      <c r="AR2" s="5" t="s">
        <v>32</v>
      </c>
      <c r="AS2" s="5" t="s">
        <v>431</v>
      </c>
      <c r="AT2" s="5" t="s">
        <v>219</v>
      </c>
      <c r="AU2" s="5" t="s">
        <v>223</v>
      </c>
      <c r="AV2" s="5" t="s">
        <v>231</v>
      </c>
      <c r="AW2" s="5" t="s">
        <v>235</v>
      </c>
    </row>
    <row r="3" spans="2:49" x14ac:dyDescent="0.25">
      <c r="B3" s="1" t="s">
        <v>198</v>
      </c>
      <c r="C3" s="1">
        <f ca="1">INDEX(tblGroupTotals[],MATCH(tblGroupThirdPlaceRank[[#This Row],[Table_Rank_Code]],tblGroupTotals[Table_Rank_Code],0),MATCH(tblGroupThirdPlaceRank[[#Headers],[Team_Number]],tblGroupTotals[#Headers],0))</f>
        <v>1</v>
      </c>
      <c r="D3" s="1">
        <f ca="1">INDEX(tblGroupTotals[],MATCH(tblGroupThirdPlaceRank[[#This Row],[Table_Rank_Code]],tblGroupTotals[Table_Rank_Code],0),MATCH(tblGroupThirdPlaceRank[[#Headers],[Total_Games]],tblGroupTotals[#Headers],0))</f>
        <v>0</v>
      </c>
      <c r="E3" s="1">
        <f ca="1">INDEX(tblGroupTotals[],MATCH(tblGroupThirdPlaceRank[[#This Row],[Table_Rank_Code]],tblGroupTotals[Table_Rank_Code],0),MATCH(tblGroupThirdPlaceRank[[#Headers],[Total_Points]],tblGroupTotals[#Headers],0))</f>
        <v>0</v>
      </c>
      <c r="F3" s="1">
        <f ca="1">INDEX(tblGroupTotals[],MATCH(tblGroupThirdPlaceRank[[#This Row],[Table_Rank_Code]],tblGroupTotals[Table_Rank_Code],0),MATCH(tblGroupThirdPlaceRank[[#Headers],[Goal_Difference]],tblGroupTotals[#Headers],0))</f>
        <v>0</v>
      </c>
      <c r="G3" s="1">
        <f ca="1">INDEX(tblGroupTotals[],MATCH(tblGroupThirdPlaceRank[[#This Row],[Table_Rank_Code]],tblGroupTotals[Table_Rank_Code],0),MATCH(tblGroupThirdPlaceRank[[#Headers],[Total_Goals_For]],tblGroupTotals[#Headers],0))</f>
        <v>0</v>
      </c>
      <c r="H3" s="1">
        <f ca="1">INDEX(tblGroupTotals[],MATCH(tblGroupThirdPlaceRank[[#This Row],[Table_Rank_Code]],tblGroupTotals[Table_Rank_Code],0),MATCH(tblGroupThirdPlaceRank[[#Headers],[Total_Goals_Against]],tblGroupTotals[#Headers],0))</f>
        <v>0</v>
      </c>
      <c r="I3" s="1">
        <f ca="1">INDEX(tblGroupTotals[],MATCH(tblGroupThirdPlaceRank[[#This Row],[Table_Rank_Code]],tblGroupTotals[Table_Rank_Code],0),MATCH(tblGroupThirdPlaceRank[[#Headers],[Total_Wins]],tblGroupTotals[#Headers],0))</f>
        <v>0</v>
      </c>
      <c r="J3" s="1">
        <f ca="1">INDEX(tblGroupTotals[],MATCH(tblGroupThirdPlaceRank[[#This Row],[Table_Rank_Code]],tblGroupTotals[Table_Rank_Code],0),MATCH(tblGroupThirdPlaceRank[[#Headers],[Total_Draws]],tblGroupTotals[#Headers],0))</f>
        <v>0</v>
      </c>
      <c r="K3" s="1">
        <f ca="1">INDEX(tblGroupTotals[],MATCH(tblGroupThirdPlaceRank[[#This Row],[Table_Rank_Code]],tblGroupTotals[Table_Rank_Code],0),MATCH(tblGroupThirdPlaceRank[[#Headers],[Total_Loses]],tblGroupTotals[#Headers],0))</f>
        <v>0</v>
      </c>
      <c r="L3" s="1">
        <f ca="1">INDEX(tblGroupTotals[],MATCH(tblGroupThirdPlaceRank[[#This Row],[Table_Rank_Code]],tblGroupTotals[Table_Rank_Code],0),MATCH(tblGroupThirdPlaceRank[[#Headers],[Total_Yellow_Cards]],tblGroupTotals[#Headers],0))</f>
        <v>0</v>
      </c>
      <c r="M3" s="1">
        <f ca="1">INDEX(tblGroupTotals[],MATCH(tblGroupThirdPlaceRank[[#This Row],[Table_Rank_Code]],tblGroupTotals[Table_Rank_Code],0),MATCH(tblGroupThirdPlaceRank[[#Headers],[Total_Red_Cards]],tblGroupTotals[#Headers],0))</f>
        <v>0</v>
      </c>
      <c r="N3" s="1">
        <f ca="1">INDEX(tblGroupTotals[],MATCH(tblGroupThirdPlaceRank[[#This Row],[Table_Rank_Code]],tblGroupTotals[Table_Rank_Code],0),MATCH(tblGroupThirdPlaceRank[[#Headers],[Total_Diciplinary_Points]],tblGroupTotals[#Headers],0))</f>
        <v>0</v>
      </c>
      <c r="O3" s="1">
        <f ca="1">INDEX(tblGroupTotals[],MATCH(tblGroupThirdPlaceRank[[#This Row],[Table_Rank_Code]],tblGroupTotals[Table_Rank_Code],0),MATCH(tblGroupThirdPlaceRank[[#Headers],[Qualifier_Rank_Position]],tblGroupTotals[#Headers],0))</f>
        <v>14</v>
      </c>
      <c r="P3" s="1">
        <f ca="1">_xlfn.RANK.EQ(tblGroupThirdPlaceRank[[#This Row],[Total_Points]],tblGroupThirdPlaceRank[Total_Points],0)</f>
        <v>1</v>
      </c>
      <c r="Q3" s="1">
        <f ca="1">_xlfn.RANK.EQ(tblGroupThirdPlaceRank[[#This Row],[Goal_Difference]],tblGroupThirdPlaceRank[Goal_Difference],0)</f>
        <v>1</v>
      </c>
      <c r="R3" s="1">
        <f ca="1">_xlfn.RANK.EQ(tblGroupThirdPlaceRank[[#This Row],[Total_Goals_For]],tblGroupThirdPlaceRank[Total_Goals_For],0)</f>
        <v>1</v>
      </c>
      <c r="S3" s="1">
        <f ca="1">_xlfn.RANK.EQ(tblGroupThirdPlaceRank[[#This Row],[Total_Wins]],tblGroupThirdPlaceRank[Total_Wins],0)</f>
        <v>1</v>
      </c>
      <c r="T3" s="1">
        <f ca="1">_xlfn.RANK.EQ(tblGroupThirdPlaceRank[[#This Row],[Total_Diciplinary_Points]],tblGroupThirdPlaceRank[Total_Diciplinary_Points],1)</f>
        <v>1</v>
      </c>
      <c r="U3" s="1">
        <f ca="1">_xlfn.RANK.EQ(tblGroupThirdPlaceRank[[#This Row],[Qualifier_Rank_Position]],tblGroupThirdPlaceRank[Qualifier_Rank_Position],1)</f>
        <v>2</v>
      </c>
      <c r="V3"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111112</v>
      </c>
      <c r="W3" s="1">
        <f ca="1">_xlfn.RANK.EQ(tblGroupThirdPlaceRank[[#This Row],[Total_Group_Rank_Value]],tblGroupThirdPlaceRank[Total_Group_Rank_Value],1)</f>
        <v>2</v>
      </c>
      <c r="X3" s="1" t="str">
        <f ca="1">LEFT(tblGroupThirdPlaceRank[[#This Row],[Total_Group_Rank_Value]],4)</f>
        <v>1111</v>
      </c>
      <c r="Y3" s="1" t="str">
        <f ca="1">LEFT(tblGroupThirdPlaceRank[[#This Row],[Total_Group_Rank_Value]],5)</f>
        <v>11111</v>
      </c>
      <c r="Z3" s="1" t="b">
        <f ca="1">COUNTIF(tblGroupThirdPlaceRank[Table_Rank_Value],tblGroupThirdPlaceRank[[#This Row],[Table_Rank_Value]])&gt;1</f>
        <v>1</v>
      </c>
      <c r="AA3" s="1" t="b">
        <f ca="1">COUNTIF(tblGroupThirdPlaceRank[Disciplinary_Rank_Value],tblGroupThirdPlaceRank[[#This Row],[Disciplinary_Rank_Value]])&gt;1</f>
        <v>1</v>
      </c>
      <c r="AB3"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(14)</v>
      </c>
      <c r="AC3" s="1" t="str">
        <f>LEFT(tblGroupThirdPlaceRank[[#This Row],[Table_Rank_Code]],1)</f>
        <v>A</v>
      </c>
      <c r="AF3" s="1">
        <v>1</v>
      </c>
      <c r="AG3" s="1" t="b">
        <v>1</v>
      </c>
      <c r="AH3" s="1" t="b">
        <v>1</v>
      </c>
      <c r="AI3" s="1" t="b">
        <v>1</v>
      </c>
      <c r="AJ3" s="1" t="b">
        <v>1</v>
      </c>
      <c r="AK3" s="1" t="b">
        <v>0</v>
      </c>
      <c r="AL3" s="1" t="b">
        <v>0</v>
      </c>
      <c r="AM3" s="1" t="b">
        <f ca="1">COUNTIFS(tblGroupThirdPlaceRank[Group_Code],tblThirdPlaceSequence[[#Headers],[A]],tblGroupThirdPlaceRank[Total_Group_Rank],"&lt;5")&gt;0</f>
        <v>1</v>
      </c>
      <c r="AN3" s="1" t="b">
        <f ca="1">COUNTIFS(tblGroupThirdPlaceRank[Group_Code],tblThirdPlaceSequence[[#Headers],[B]],tblGroupThirdPlaceRank[Total_Group_Rank],"&lt;5")&gt;0</f>
        <v>1</v>
      </c>
      <c r="AO3" s="1" t="b">
        <f ca="1">COUNTIFS(tblGroupThirdPlaceRank[Group_Code],tblThirdPlaceSequence[[#Headers],[C]],tblGroupThirdPlaceRank[Total_Group_Rank],"&lt;5")&gt;0</f>
        <v>1</v>
      </c>
      <c r="AP3" s="1" t="b">
        <f ca="1">COUNTIFS(tblGroupThirdPlaceRank[Group_Code],tblThirdPlaceSequence[[#Headers],[D]],tblGroupThirdPlaceRank[Total_Group_Rank],"&lt;5")&gt;0</f>
        <v>0</v>
      </c>
      <c r="AQ3" s="1" t="b">
        <f ca="1">COUNTIFS(tblGroupThirdPlaceRank[Group_Code],tblThirdPlaceSequence[[#Headers],[E]],tblGroupThirdPlaceRank[Total_Group_Rank],"&lt;5")&gt;0</f>
        <v>0</v>
      </c>
      <c r="AR3" s="1" t="b">
        <f ca="1">COUNTIFS(tblGroupThirdPlaceRank[Group_Code],tblThirdPlaceSequence[[#Headers],[F]],tblGroupThirdPlaceRank[Total_Group_Rank],"&lt;5")&gt;0</f>
        <v>1</v>
      </c>
      <c r="AS3"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3" s="1" t="s">
        <v>198</v>
      </c>
      <c r="AU3" s="1" t="s">
        <v>229</v>
      </c>
      <c r="AV3" s="1" t="s">
        <v>221</v>
      </c>
      <c r="AW3" s="1" t="s">
        <v>225</v>
      </c>
    </row>
    <row r="4" spans="2:49" x14ac:dyDescent="0.25">
      <c r="B4" s="1" t="s">
        <v>221</v>
      </c>
      <c r="C4" s="1">
        <f ca="1">INDEX(tblGroupTotals[],MATCH(tblGroupThirdPlaceRank[[#This Row],[Table_Rank_Code]],tblGroupTotals[Table_Rank_Code],0),MATCH(tblGroupThirdPlaceRank[[#Headers],[Team_Number]],tblGroupTotals[#Headers],0))</f>
        <v>5</v>
      </c>
      <c r="D4" s="1">
        <f ca="1">INDEX(tblGroupTotals[],MATCH(tblGroupThirdPlaceRank[[#This Row],[Table_Rank_Code]],tblGroupTotals[Table_Rank_Code],0),MATCH(tblGroupThirdPlaceRank[[#Headers],[Total_Games]],tblGroupTotals[#Headers],0))</f>
        <v>0</v>
      </c>
      <c r="E4" s="1">
        <f ca="1">INDEX(tblGroupTotals[],MATCH(tblGroupThirdPlaceRank[[#This Row],[Table_Rank_Code]],tblGroupTotals[Table_Rank_Code],0),MATCH(tblGroupThirdPlaceRank[[#Headers],[Total_Points]],tblGroupTotals[#Headers],0))</f>
        <v>0</v>
      </c>
      <c r="F4" s="1">
        <f ca="1">INDEX(tblGroupTotals[],MATCH(tblGroupThirdPlaceRank[[#This Row],[Table_Rank_Code]],tblGroupTotals[Table_Rank_Code],0),MATCH(tblGroupThirdPlaceRank[[#Headers],[Goal_Difference]],tblGroupTotals[#Headers],0))</f>
        <v>0</v>
      </c>
      <c r="G4" s="1">
        <f ca="1">INDEX(tblGroupTotals[],MATCH(tblGroupThirdPlaceRank[[#This Row],[Table_Rank_Code]],tblGroupTotals[Table_Rank_Code],0),MATCH(tblGroupThirdPlaceRank[[#Headers],[Total_Goals_For]],tblGroupTotals[#Headers],0))</f>
        <v>0</v>
      </c>
      <c r="H4" s="1">
        <f ca="1">INDEX(tblGroupTotals[],MATCH(tblGroupThirdPlaceRank[[#This Row],[Table_Rank_Code]],tblGroupTotals[Table_Rank_Code],0),MATCH(tblGroupThirdPlaceRank[[#Headers],[Total_Goals_Against]],tblGroupTotals[#Headers],0))</f>
        <v>0</v>
      </c>
      <c r="I4" s="1">
        <f ca="1">INDEX(tblGroupTotals[],MATCH(tblGroupThirdPlaceRank[[#This Row],[Table_Rank_Code]],tblGroupTotals[Table_Rank_Code],0),MATCH(tblGroupThirdPlaceRank[[#Headers],[Total_Wins]],tblGroupTotals[#Headers],0))</f>
        <v>0</v>
      </c>
      <c r="J4" s="1">
        <f ca="1">INDEX(tblGroupTotals[],MATCH(tblGroupThirdPlaceRank[[#This Row],[Table_Rank_Code]],tblGroupTotals[Table_Rank_Code],0),MATCH(tblGroupThirdPlaceRank[[#Headers],[Total_Draws]],tblGroupTotals[#Headers],0))</f>
        <v>0</v>
      </c>
      <c r="K4" s="1">
        <f ca="1">INDEX(tblGroupTotals[],MATCH(tblGroupThirdPlaceRank[[#This Row],[Table_Rank_Code]],tblGroupTotals[Table_Rank_Code],0),MATCH(tblGroupThirdPlaceRank[[#Headers],[Total_Loses]],tblGroupTotals[#Headers],0))</f>
        <v>0</v>
      </c>
      <c r="L4" s="1">
        <f ca="1">INDEX(tblGroupTotals[],MATCH(tblGroupThirdPlaceRank[[#This Row],[Table_Rank_Code]],tblGroupTotals[Table_Rank_Code],0),MATCH(tblGroupThirdPlaceRank[[#Headers],[Total_Yellow_Cards]],tblGroupTotals[#Headers],0))</f>
        <v>0</v>
      </c>
      <c r="M4" s="1">
        <f ca="1">INDEX(tblGroupTotals[],MATCH(tblGroupThirdPlaceRank[[#This Row],[Table_Rank_Code]],tblGroupTotals[Table_Rank_Code],0),MATCH(tblGroupThirdPlaceRank[[#Headers],[Total_Red_Cards]],tblGroupTotals[#Headers],0))</f>
        <v>0</v>
      </c>
      <c r="N4" s="1">
        <f ca="1">INDEX(tblGroupTotals[],MATCH(tblGroupThirdPlaceRank[[#This Row],[Table_Rank_Code]],tblGroupTotals[Table_Rank_Code],0),MATCH(tblGroupThirdPlaceRank[[#Headers],[Total_Diciplinary_Points]],tblGroupTotals[#Headers],0))</f>
        <v>0</v>
      </c>
      <c r="O4" s="1">
        <f ca="1">INDEX(tblGroupTotals[],MATCH(tblGroupThirdPlaceRank[[#This Row],[Table_Rank_Code]],tblGroupTotals[Table_Rank_Code],0),MATCH(tblGroupThirdPlaceRank[[#Headers],[Qualifier_Rank_Position]],tblGroupTotals[#Headers],0))</f>
        <v>15</v>
      </c>
      <c r="P4" s="1">
        <f ca="1">_xlfn.RANK.EQ(tblGroupThirdPlaceRank[[#This Row],[Total_Points]],tblGroupThirdPlaceRank[Total_Points],0)</f>
        <v>1</v>
      </c>
      <c r="Q4" s="1">
        <f ca="1">_xlfn.RANK.EQ(tblGroupThirdPlaceRank[[#This Row],[Goal_Difference]],tblGroupThirdPlaceRank[Goal_Difference],0)</f>
        <v>1</v>
      </c>
      <c r="R4" s="1">
        <f ca="1">_xlfn.RANK.EQ(tblGroupThirdPlaceRank[[#This Row],[Total_Goals_For]],tblGroupThirdPlaceRank[Total_Goals_For],0)</f>
        <v>1</v>
      </c>
      <c r="S4" s="1">
        <f ca="1">_xlfn.RANK.EQ(tblGroupThirdPlaceRank[[#This Row],[Total_Wins]],tblGroupThirdPlaceRank[Total_Wins],0)</f>
        <v>1</v>
      </c>
      <c r="T4" s="1">
        <f ca="1">_xlfn.RANK.EQ(tblGroupThirdPlaceRank[[#This Row],[Total_Diciplinary_Points]],tblGroupThirdPlaceRank[Total_Diciplinary_Points],1)</f>
        <v>1</v>
      </c>
      <c r="U4" s="1">
        <f ca="1">_xlfn.RANK.EQ(tblGroupThirdPlaceRank[[#This Row],[Qualifier_Rank_Position]],tblGroupThirdPlaceRank[Qualifier_Rank_Position],1)</f>
        <v>3</v>
      </c>
      <c r="V4"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111113</v>
      </c>
      <c r="W4" s="1">
        <f ca="1">_xlfn.RANK.EQ(tblGroupThirdPlaceRank[[#This Row],[Total_Group_Rank_Value]],tblGroupThirdPlaceRank[Total_Group_Rank_Value],1)</f>
        <v>3</v>
      </c>
      <c r="X4" s="1" t="str">
        <f ca="1">LEFT(tblGroupThirdPlaceRank[[#This Row],[Total_Group_Rank_Value]],4)</f>
        <v>1111</v>
      </c>
      <c r="Y4" s="1" t="str">
        <f ca="1">LEFT(tblGroupThirdPlaceRank[[#This Row],[Total_Group_Rank_Value]],5)</f>
        <v>11111</v>
      </c>
      <c r="Z4" s="1" t="b">
        <f ca="1">COUNTIF(tblGroupThirdPlaceRank[Table_Rank_Value],tblGroupThirdPlaceRank[[#This Row],[Table_Rank_Value]])&gt;1</f>
        <v>1</v>
      </c>
      <c r="AA4" s="1" t="b">
        <f ca="1">COUNTIF(tblGroupThirdPlaceRank[Disciplinary_Rank_Value],tblGroupThirdPlaceRank[[#This Row],[Disciplinary_Rank_Value]])&gt;1</f>
        <v>1</v>
      </c>
      <c r="AB4"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(15)</v>
      </c>
      <c r="AC4" s="1" t="str">
        <f>LEFT(tblGroupThirdPlaceRank[[#This Row],[Table_Rank_Code]],1)</f>
        <v>B</v>
      </c>
      <c r="AF4" s="1">
        <v>2</v>
      </c>
      <c r="AG4" s="1" t="b">
        <v>1</v>
      </c>
      <c r="AH4" s="1" t="b">
        <v>1</v>
      </c>
      <c r="AI4" s="1" t="b">
        <v>1</v>
      </c>
      <c r="AJ4" s="1" t="b">
        <v>0</v>
      </c>
      <c r="AK4" s="1" t="b">
        <v>1</v>
      </c>
      <c r="AL4" s="1" t="b">
        <v>0</v>
      </c>
      <c r="AM4" s="1" t="b">
        <f ca="1">COUNTIFS(tblGroupThirdPlaceRank[Group_Code],tblThirdPlaceSequence[[#Headers],[A]],tblGroupThirdPlaceRank[Total_Group_Rank],"&lt;5")&gt;0</f>
        <v>1</v>
      </c>
      <c r="AN4" s="1" t="b">
        <f ca="1">COUNTIFS(tblGroupThirdPlaceRank[Group_Code],tblThirdPlaceSequence[[#Headers],[B]],tblGroupThirdPlaceRank[Total_Group_Rank],"&lt;5")&gt;0</f>
        <v>1</v>
      </c>
      <c r="AO4" s="1" t="b">
        <f ca="1">COUNTIFS(tblGroupThirdPlaceRank[Group_Code],tblThirdPlaceSequence[[#Headers],[C]],tblGroupThirdPlaceRank[Total_Group_Rank],"&lt;5")&gt;0</f>
        <v>1</v>
      </c>
      <c r="AP4" s="1" t="b">
        <f ca="1">COUNTIFS(tblGroupThirdPlaceRank[Group_Code],tblThirdPlaceSequence[[#Headers],[D]],tblGroupThirdPlaceRank[Total_Group_Rank],"&lt;5")&gt;0</f>
        <v>0</v>
      </c>
      <c r="AQ4" s="1" t="b">
        <f ca="1">COUNTIFS(tblGroupThirdPlaceRank[Group_Code],tblThirdPlaceSequence[[#Headers],[E]],tblGroupThirdPlaceRank[Total_Group_Rank],"&lt;5")&gt;0</f>
        <v>0</v>
      </c>
      <c r="AR4" s="1" t="b">
        <f ca="1">COUNTIFS(tblGroupThirdPlaceRank[Group_Code],tblThirdPlaceSequence[[#Headers],[F]],tblGroupThirdPlaceRank[Total_Group_Rank],"&lt;5")&gt;0</f>
        <v>1</v>
      </c>
      <c r="AS4"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4" s="1" t="s">
        <v>198</v>
      </c>
      <c r="AU4" s="1" t="s">
        <v>233</v>
      </c>
      <c r="AV4" s="1" t="s">
        <v>221</v>
      </c>
      <c r="AW4" s="1" t="s">
        <v>225</v>
      </c>
    </row>
    <row r="5" spans="2:49" x14ac:dyDescent="0.25">
      <c r="B5" s="1" t="s">
        <v>225</v>
      </c>
      <c r="C5" s="1">
        <f ca="1">INDEX(tblGroupTotals[],MATCH(tblGroupThirdPlaceRank[[#This Row],[Table_Rank_Code]],tblGroupTotals[Table_Rank_Code],0),MATCH(tblGroupThirdPlaceRank[[#Headers],[Team_Number]],tblGroupTotals[#Headers],0))</f>
        <v>9</v>
      </c>
      <c r="D5" s="1">
        <f ca="1">INDEX(tblGroupTotals[],MATCH(tblGroupThirdPlaceRank[[#This Row],[Table_Rank_Code]],tblGroupTotals[Table_Rank_Code],0),MATCH(tblGroupThirdPlaceRank[[#Headers],[Total_Games]],tblGroupTotals[#Headers],0))</f>
        <v>0</v>
      </c>
      <c r="E5" s="1">
        <f ca="1">INDEX(tblGroupTotals[],MATCH(tblGroupThirdPlaceRank[[#This Row],[Table_Rank_Code]],tblGroupTotals[Table_Rank_Code],0),MATCH(tblGroupThirdPlaceRank[[#Headers],[Total_Points]],tblGroupTotals[#Headers],0))</f>
        <v>0</v>
      </c>
      <c r="F5" s="1">
        <f ca="1">INDEX(tblGroupTotals[],MATCH(tblGroupThirdPlaceRank[[#This Row],[Table_Rank_Code]],tblGroupTotals[Table_Rank_Code],0),MATCH(tblGroupThirdPlaceRank[[#Headers],[Goal_Difference]],tblGroupTotals[#Headers],0))</f>
        <v>0</v>
      </c>
      <c r="G5" s="1">
        <f ca="1">INDEX(tblGroupTotals[],MATCH(tblGroupThirdPlaceRank[[#This Row],[Table_Rank_Code]],tblGroupTotals[Table_Rank_Code],0),MATCH(tblGroupThirdPlaceRank[[#Headers],[Total_Goals_For]],tblGroupTotals[#Headers],0))</f>
        <v>0</v>
      </c>
      <c r="H5" s="1">
        <f ca="1">INDEX(tblGroupTotals[],MATCH(tblGroupThirdPlaceRank[[#This Row],[Table_Rank_Code]],tblGroupTotals[Table_Rank_Code],0),MATCH(tblGroupThirdPlaceRank[[#Headers],[Total_Goals_Against]],tblGroupTotals[#Headers],0))</f>
        <v>0</v>
      </c>
      <c r="I5" s="1">
        <f ca="1">INDEX(tblGroupTotals[],MATCH(tblGroupThirdPlaceRank[[#This Row],[Table_Rank_Code]],tblGroupTotals[Table_Rank_Code],0),MATCH(tblGroupThirdPlaceRank[[#Headers],[Total_Wins]],tblGroupTotals[#Headers],0))</f>
        <v>0</v>
      </c>
      <c r="J5" s="1">
        <f ca="1">INDEX(tblGroupTotals[],MATCH(tblGroupThirdPlaceRank[[#This Row],[Table_Rank_Code]],tblGroupTotals[Table_Rank_Code],0),MATCH(tblGroupThirdPlaceRank[[#Headers],[Total_Draws]],tblGroupTotals[#Headers],0))</f>
        <v>0</v>
      </c>
      <c r="K5" s="1">
        <f ca="1">INDEX(tblGroupTotals[],MATCH(tblGroupThirdPlaceRank[[#This Row],[Table_Rank_Code]],tblGroupTotals[Table_Rank_Code],0),MATCH(tblGroupThirdPlaceRank[[#Headers],[Total_Loses]],tblGroupTotals[#Headers],0))</f>
        <v>0</v>
      </c>
      <c r="L5" s="1">
        <f ca="1">INDEX(tblGroupTotals[],MATCH(tblGroupThirdPlaceRank[[#This Row],[Table_Rank_Code]],tblGroupTotals[Table_Rank_Code],0),MATCH(tblGroupThirdPlaceRank[[#Headers],[Total_Yellow_Cards]],tblGroupTotals[#Headers],0))</f>
        <v>0</v>
      </c>
      <c r="M5" s="1">
        <f ca="1">INDEX(tblGroupTotals[],MATCH(tblGroupThirdPlaceRank[[#This Row],[Table_Rank_Code]],tblGroupTotals[Table_Rank_Code],0),MATCH(tblGroupThirdPlaceRank[[#Headers],[Total_Red_Cards]],tblGroupTotals[#Headers],0))</f>
        <v>0</v>
      </c>
      <c r="N5" s="1">
        <f ca="1">INDEX(tblGroupTotals[],MATCH(tblGroupThirdPlaceRank[[#This Row],[Table_Rank_Code]],tblGroupTotals[Table_Rank_Code],0),MATCH(tblGroupThirdPlaceRank[[#Headers],[Total_Diciplinary_Points]],tblGroupTotals[#Headers],0))</f>
        <v>0</v>
      </c>
      <c r="O5" s="1">
        <f ca="1">INDEX(tblGroupTotals[],MATCH(tblGroupThirdPlaceRank[[#This Row],[Table_Rank_Code]],tblGroupTotals[Table_Rank_Code],0),MATCH(tblGroupThirdPlaceRank[[#Headers],[Qualifier_Rank_Position]],tblGroupTotals[#Headers],0))</f>
        <v>16</v>
      </c>
      <c r="P5" s="1">
        <f ca="1">_xlfn.RANK.EQ(tblGroupThirdPlaceRank[[#This Row],[Total_Points]],tblGroupThirdPlaceRank[Total_Points],0)</f>
        <v>1</v>
      </c>
      <c r="Q5" s="1">
        <f ca="1">_xlfn.RANK.EQ(tblGroupThirdPlaceRank[[#This Row],[Goal_Difference]],tblGroupThirdPlaceRank[Goal_Difference],0)</f>
        <v>1</v>
      </c>
      <c r="R5" s="1">
        <f ca="1">_xlfn.RANK.EQ(tblGroupThirdPlaceRank[[#This Row],[Total_Goals_For]],tblGroupThirdPlaceRank[Total_Goals_For],0)</f>
        <v>1</v>
      </c>
      <c r="S5" s="1">
        <f ca="1">_xlfn.RANK.EQ(tblGroupThirdPlaceRank[[#This Row],[Total_Wins]],tblGroupThirdPlaceRank[Total_Wins],0)</f>
        <v>1</v>
      </c>
      <c r="T5" s="1">
        <f ca="1">_xlfn.RANK.EQ(tblGroupThirdPlaceRank[[#This Row],[Total_Diciplinary_Points]],tblGroupThirdPlaceRank[Total_Diciplinary_Points],1)</f>
        <v>1</v>
      </c>
      <c r="U5" s="1">
        <f ca="1">_xlfn.RANK.EQ(tblGroupThirdPlaceRank[[#This Row],[Qualifier_Rank_Position]],tblGroupThirdPlaceRank[Qualifier_Rank_Position],1)</f>
        <v>4</v>
      </c>
      <c r="V5"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111114</v>
      </c>
      <c r="W5" s="1">
        <f ca="1">_xlfn.RANK.EQ(tblGroupThirdPlaceRank[[#This Row],[Total_Group_Rank_Value]],tblGroupThirdPlaceRank[Total_Group_Rank_Value],1)</f>
        <v>4</v>
      </c>
      <c r="X5" s="1" t="str">
        <f ca="1">LEFT(tblGroupThirdPlaceRank[[#This Row],[Total_Group_Rank_Value]],4)</f>
        <v>1111</v>
      </c>
      <c r="Y5" s="1" t="str">
        <f ca="1">LEFT(tblGroupThirdPlaceRank[[#This Row],[Total_Group_Rank_Value]],5)</f>
        <v>11111</v>
      </c>
      <c r="Z5" s="1" t="b">
        <f ca="1">COUNTIF(tblGroupThirdPlaceRank[Table_Rank_Value],tblGroupThirdPlaceRank[[#This Row],[Table_Rank_Value]])&gt;1</f>
        <v>1</v>
      </c>
      <c r="AA5" s="1" t="b">
        <f ca="1">COUNTIF(tblGroupThirdPlaceRank[Disciplinary_Rank_Value],tblGroupThirdPlaceRank[[#This Row],[Disciplinary_Rank_Value]])&gt;1</f>
        <v>1</v>
      </c>
      <c r="AB5"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(16)</v>
      </c>
      <c r="AC5" s="1" t="str">
        <f>LEFT(tblGroupThirdPlaceRank[[#This Row],[Table_Rank_Code]],1)</f>
        <v>C</v>
      </c>
      <c r="AF5" s="1">
        <v>3</v>
      </c>
      <c r="AG5" s="1" t="b">
        <v>1</v>
      </c>
      <c r="AH5" s="1" t="b">
        <v>1</v>
      </c>
      <c r="AI5" s="1" t="b">
        <v>1</v>
      </c>
      <c r="AJ5" s="1" t="b">
        <v>0</v>
      </c>
      <c r="AK5" s="1" t="b">
        <v>0</v>
      </c>
      <c r="AL5" s="1" t="b">
        <v>1</v>
      </c>
      <c r="AM5" s="1" t="b">
        <f ca="1">COUNTIFS(tblGroupThirdPlaceRank[Group_Code],tblThirdPlaceSequence[[#Headers],[A]],tblGroupThirdPlaceRank[Total_Group_Rank],"&lt;5")&gt;0</f>
        <v>1</v>
      </c>
      <c r="AN5" s="1" t="b">
        <f ca="1">COUNTIFS(tblGroupThirdPlaceRank[Group_Code],tblThirdPlaceSequence[[#Headers],[B]],tblGroupThirdPlaceRank[Total_Group_Rank],"&lt;5")&gt;0</f>
        <v>1</v>
      </c>
      <c r="AO5" s="1" t="b">
        <f ca="1">COUNTIFS(tblGroupThirdPlaceRank[Group_Code],tblThirdPlaceSequence[[#Headers],[C]],tblGroupThirdPlaceRank[Total_Group_Rank],"&lt;5")&gt;0</f>
        <v>1</v>
      </c>
      <c r="AP5" s="1" t="b">
        <f ca="1">COUNTIFS(tblGroupThirdPlaceRank[Group_Code],tblThirdPlaceSequence[[#Headers],[D]],tblGroupThirdPlaceRank[Total_Group_Rank],"&lt;5")&gt;0</f>
        <v>0</v>
      </c>
      <c r="AQ5" s="1" t="b">
        <f ca="1">COUNTIFS(tblGroupThirdPlaceRank[Group_Code],tblThirdPlaceSequence[[#Headers],[E]],tblGroupThirdPlaceRank[Total_Group_Rank],"&lt;5")&gt;0</f>
        <v>0</v>
      </c>
      <c r="AR5" s="1" t="b">
        <f ca="1">COUNTIFS(tblGroupThirdPlaceRank[Group_Code],tblThirdPlaceSequence[[#Headers],[F]],tblGroupThirdPlaceRank[Total_Group_Rank],"&lt;5")&gt;0</f>
        <v>1</v>
      </c>
      <c r="AS5"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1</v>
      </c>
      <c r="AT5" s="1" t="s">
        <v>198</v>
      </c>
      <c r="AU5" s="1" t="s">
        <v>237</v>
      </c>
      <c r="AV5" s="1" t="s">
        <v>221</v>
      </c>
      <c r="AW5" s="1" t="s">
        <v>225</v>
      </c>
    </row>
    <row r="6" spans="2:49" x14ac:dyDescent="0.25">
      <c r="B6" s="1" t="s">
        <v>229</v>
      </c>
      <c r="C6" s="1">
        <f ca="1">INDEX(tblGroupTotals[],MATCH(tblGroupThirdPlaceRank[[#This Row],[Table_Rank_Code]],tblGroupTotals[Table_Rank_Code],0),MATCH(tblGroupThirdPlaceRank[[#Headers],[Team_Number]],tblGroupTotals[#Headers],0))</f>
        <v>16</v>
      </c>
      <c r="D6" s="1">
        <f ca="1">INDEX(tblGroupTotals[],MATCH(tblGroupThirdPlaceRank[[#This Row],[Table_Rank_Code]],tblGroupTotals[Table_Rank_Code],0),MATCH(tblGroupThirdPlaceRank[[#Headers],[Total_Games]],tblGroupTotals[#Headers],0))</f>
        <v>0</v>
      </c>
      <c r="E6" s="1">
        <f ca="1">INDEX(tblGroupTotals[],MATCH(tblGroupThirdPlaceRank[[#This Row],[Table_Rank_Code]],tblGroupTotals[Table_Rank_Code],0),MATCH(tblGroupThirdPlaceRank[[#Headers],[Total_Points]],tblGroupTotals[#Headers],0))</f>
        <v>0</v>
      </c>
      <c r="F6" s="1">
        <f ca="1">INDEX(tblGroupTotals[],MATCH(tblGroupThirdPlaceRank[[#This Row],[Table_Rank_Code]],tblGroupTotals[Table_Rank_Code],0),MATCH(tblGroupThirdPlaceRank[[#Headers],[Goal_Difference]],tblGroupTotals[#Headers],0))</f>
        <v>0</v>
      </c>
      <c r="G6" s="1">
        <f ca="1">INDEX(tblGroupTotals[],MATCH(tblGroupThirdPlaceRank[[#This Row],[Table_Rank_Code]],tblGroupTotals[Table_Rank_Code],0),MATCH(tblGroupThirdPlaceRank[[#Headers],[Total_Goals_For]],tblGroupTotals[#Headers],0))</f>
        <v>0</v>
      </c>
      <c r="H6" s="1">
        <f ca="1">INDEX(tblGroupTotals[],MATCH(tblGroupThirdPlaceRank[[#This Row],[Table_Rank_Code]],tblGroupTotals[Table_Rank_Code],0),MATCH(tblGroupThirdPlaceRank[[#Headers],[Total_Goals_Against]],tblGroupTotals[#Headers],0))</f>
        <v>0</v>
      </c>
      <c r="I6" s="1">
        <f ca="1">INDEX(tblGroupTotals[],MATCH(tblGroupThirdPlaceRank[[#This Row],[Table_Rank_Code]],tblGroupTotals[Table_Rank_Code],0),MATCH(tblGroupThirdPlaceRank[[#Headers],[Total_Wins]],tblGroupTotals[#Headers],0))</f>
        <v>0</v>
      </c>
      <c r="J6" s="1">
        <f ca="1">INDEX(tblGroupTotals[],MATCH(tblGroupThirdPlaceRank[[#This Row],[Table_Rank_Code]],tblGroupTotals[Table_Rank_Code],0),MATCH(tblGroupThirdPlaceRank[[#Headers],[Total_Draws]],tblGroupTotals[#Headers],0))</f>
        <v>0</v>
      </c>
      <c r="K6" s="1">
        <f ca="1">INDEX(tblGroupTotals[],MATCH(tblGroupThirdPlaceRank[[#This Row],[Table_Rank_Code]],tblGroupTotals[Table_Rank_Code],0),MATCH(tblGroupThirdPlaceRank[[#Headers],[Total_Loses]],tblGroupTotals[#Headers],0))</f>
        <v>0</v>
      </c>
      <c r="L6" s="1">
        <f ca="1">INDEX(tblGroupTotals[],MATCH(tblGroupThirdPlaceRank[[#This Row],[Table_Rank_Code]],tblGroupTotals[Table_Rank_Code],0),MATCH(tblGroupThirdPlaceRank[[#Headers],[Total_Yellow_Cards]],tblGroupTotals[#Headers],0))</f>
        <v>0</v>
      </c>
      <c r="M6" s="1">
        <f ca="1">INDEX(tblGroupTotals[],MATCH(tblGroupThirdPlaceRank[[#This Row],[Table_Rank_Code]],tblGroupTotals[Table_Rank_Code],0),MATCH(tblGroupThirdPlaceRank[[#Headers],[Total_Red_Cards]],tblGroupTotals[#Headers],0))</f>
        <v>0</v>
      </c>
      <c r="N6" s="1">
        <f ca="1">INDEX(tblGroupTotals[],MATCH(tblGroupThirdPlaceRank[[#This Row],[Table_Rank_Code]],tblGroupTotals[Table_Rank_Code],0),MATCH(tblGroupThirdPlaceRank[[#Headers],[Total_Diciplinary_Points]],tblGroupTotals[#Headers],0))</f>
        <v>0</v>
      </c>
      <c r="O6" s="1">
        <f ca="1">INDEX(tblGroupTotals[],MATCH(tblGroupThirdPlaceRank[[#This Row],[Table_Rank_Code]],tblGroupTotals[Table_Rank_Code],0),MATCH(tblGroupThirdPlaceRank[[#Headers],[Qualifier_Rank_Position]],tblGroupTotals[#Headers],0))</f>
        <v>18</v>
      </c>
      <c r="P6" s="1">
        <f ca="1">_xlfn.RANK.EQ(tblGroupThirdPlaceRank[[#This Row],[Total_Points]],tblGroupThirdPlaceRank[Total_Points],0)</f>
        <v>1</v>
      </c>
      <c r="Q6" s="1">
        <f ca="1">_xlfn.RANK.EQ(tblGroupThirdPlaceRank[[#This Row],[Goal_Difference]],tblGroupThirdPlaceRank[Goal_Difference],0)</f>
        <v>1</v>
      </c>
      <c r="R6" s="1">
        <f ca="1">_xlfn.RANK.EQ(tblGroupThirdPlaceRank[[#This Row],[Total_Goals_For]],tblGroupThirdPlaceRank[Total_Goals_For],0)</f>
        <v>1</v>
      </c>
      <c r="S6" s="1">
        <f ca="1">_xlfn.RANK.EQ(tblGroupThirdPlaceRank[[#This Row],[Total_Wins]],tblGroupThirdPlaceRank[Total_Wins],0)</f>
        <v>1</v>
      </c>
      <c r="T6" s="1">
        <f ca="1">_xlfn.RANK.EQ(tblGroupThirdPlaceRank[[#This Row],[Total_Diciplinary_Points]],tblGroupThirdPlaceRank[Total_Diciplinary_Points],1)</f>
        <v>1</v>
      </c>
      <c r="U6" s="1">
        <f ca="1">_xlfn.RANK.EQ(tblGroupThirdPlaceRank[[#This Row],[Qualifier_Rank_Position]],tblGroupThirdPlaceRank[Qualifier_Rank_Position],1)</f>
        <v>6</v>
      </c>
      <c r="V6"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111116</v>
      </c>
      <c r="W6" s="1">
        <f ca="1">_xlfn.RANK.EQ(tblGroupThirdPlaceRank[[#This Row],[Total_Group_Rank_Value]],tblGroupThirdPlaceRank[Total_Group_Rank_Value],1)</f>
        <v>6</v>
      </c>
      <c r="X6" s="1" t="str">
        <f ca="1">LEFT(tblGroupThirdPlaceRank[[#This Row],[Total_Group_Rank_Value]],4)</f>
        <v>1111</v>
      </c>
      <c r="Y6" s="1" t="str">
        <f ca="1">LEFT(tblGroupThirdPlaceRank[[#This Row],[Total_Group_Rank_Value]],5)</f>
        <v>11111</v>
      </c>
      <c r="Z6" s="1" t="b">
        <f ca="1">COUNTIF(tblGroupThirdPlaceRank[Table_Rank_Value],tblGroupThirdPlaceRank[[#This Row],[Table_Rank_Value]])&gt;1</f>
        <v>1</v>
      </c>
      <c r="AA6" s="1" t="b">
        <f ca="1">COUNTIF(tblGroupThirdPlaceRank[Disciplinary_Rank_Value],tblGroupThirdPlaceRank[[#This Row],[Disciplinary_Rank_Value]])&gt;1</f>
        <v>1</v>
      </c>
      <c r="AB6"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(18)</v>
      </c>
      <c r="AC6" s="1" t="str">
        <f>LEFT(tblGroupThirdPlaceRank[[#This Row],[Table_Rank_Code]],1)</f>
        <v>D</v>
      </c>
      <c r="AF6" s="1">
        <v>4</v>
      </c>
      <c r="AG6" s="1" t="b">
        <v>1</v>
      </c>
      <c r="AH6" s="1" t="b">
        <v>1</v>
      </c>
      <c r="AI6" s="1" t="b">
        <v>0</v>
      </c>
      <c r="AJ6" s="1" t="b">
        <v>1</v>
      </c>
      <c r="AK6" s="1" t="b">
        <v>1</v>
      </c>
      <c r="AL6" s="1" t="b">
        <v>0</v>
      </c>
      <c r="AM6" s="1" t="b">
        <f ca="1">COUNTIFS(tblGroupThirdPlaceRank[Group_Code],tblThirdPlaceSequence[[#Headers],[A]],tblGroupThirdPlaceRank[Total_Group_Rank],"&lt;5")&gt;0</f>
        <v>1</v>
      </c>
      <c r="AN6" s="1" t="b">
        <f ca="1">COUNTIFS(tblGroupThirdPlaceRank[Group_Code],tblThirdPlaceSequence[[#Headers],[B]],tblGroupThirdPlaceRank[Total_Group_Rank],"&lt;5")&gt;0</f>
        <v>1</v>
      </c>
      <c r="AO6" s="1" t="b">
        <f ca="1">COUNTIFS(tblGroupThirdPlaceRank[Group_Code],tblThirdPlaceSequence[[#Headers],[C]],tblGroupThirdPlaceRank[Total_Group_Rank],"&lt;5")&gt;0</f>
        <v>1</v>
      </c>
      <c r="AP6" s="1" t="b">
        <f ca="1">COUNTIFS(tblGroupThirdPlaceRank[Group_Code],tblThirdPlaceSequence[[#Headers],[D]],tblGroupThirdPlaceRank[Total_Group_Rank],"&lt;5")&gt;0</f>
        <v>0</v>
      </c>
      <c r="AQ6" s="1" t="b">
        <f ca="1">COUNTIFS(tblGroupThirdPlaceRank[Group_Code],tblThirdPlaceSequence[[#Headers],[E]],tblGroupThirdPlaceRank[Total_Group_Rank],"&lt;5")&gt;0</f>
        <v>0</v>
      </c>
      <c r="AR6" s="1" t="b">
        <f ca="1">COUNTIFS(tblGroupThirdPlaceRank[Group_Code],tblThirdPlaceSequence[[#Headers],[F]],tblGroupThirdPlaceRank[Total_Group_Rank],"&lt;5")&gt;0</f>
        <v>1</v>
      </c>
      <c r="AS6"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6" s="1" t="s">
        <v>229</v>
      </c>
      <c r="AU6" s="1" t="s">
        <v>233</v>
      </c>
      <c r="AV6" s="1" t="s">
        <v>198</v>
      </c>
      <c r="AW6" s="1" t="s">
        <v>221</v>
      </c>
    </row>
    <row r="7" spans="2:49" x14ac:dyDescent="0.25">
      <c r="B7" s="1" t="s">
        <v>233</v>
      </c>
      <c r="C7" s="1">
        <f ca="1">INDEX(tblGroupTotals[],MATCH(tblGroupThirdPlaceRank[[#This Row],[Table_Rank_Code]],tblGroupTotals[Table_Rank_Code],0),MATCH(tblGroupThirdPlaceRank[[#Headers],[Team_Number]],tblGroupTotals[#Headers],0))</f>
        <v>20</v>
      </c>
      <c r="D7" s="1">
        <f ca="1">INDEX(tblGroupTotals[],MATCH(tblGroupThirdPlaceRank[[#This Row],[Table_Rank_Code]],tblGroupTotals[Table_Rank_Code],0),MATCH(tblGroupThirdPlaceRank[[#Headers],[Total_Games]],tblGroupTotals[#Headers],0))</f>
        <v>0</v>
      </c>
      <c r="E7" s="1">
        <f ca="1">INDEX(tblGroupTotals[],MATCH(tblGroupThirdPlaceRank[[#This Row],[Table_Rank_Code]],tblGroupTotals[Table_Rank_Code],0),MATCH(tblGroupThirdPlaceRank[[#Headers],[Total_Points]],tblGroupTotals[#Headers],0))</f>
        <v>0</v>
      </c>
      <c r="F7" s="1">
        <f ca="1">INDEX(tblGroupTotals[],MATCH(tblGroupThirdPlaceRank[[#This Row],[Table_Rank_Code]],tblGroupTotals[Table_Rank_Code],0),MATCH(tblGroupThirdPlaceRank[[#Headers],[Goal_Difference]],tblGroupTotals[#Headers],0))</f>
        <v>0</v>
      </c>
      <c r="G7" s="1">
        <f ca="1">INDEX(tblGroupTotals[],MATCH(tblGroupThirdPlaceRank[[#This Row],[Table_Rank_Code]],tblGroupTotals[Table_Rank_Code],0),MATCH(tblGroupThirdPlaceRank[[#Headers],[Total_Goals_For]],tblGroupTotals[#Headers],0))</f>
        <v>0</v>
      </c>
      <c r="H7" s="1">
        <f ca="1">INDEX(tblGroupTotals[],MATCH(tblGroupThirdPlaceRank[[#This Row],[Table_Rank_Code]],tblGroupTotals[Table_Rank_Code],0),MATCH(tblGroupThirdPlaceRank[[#Headers],[Total_Goals_Against]],tblGroupTotals[#Headers],0))</f>
        <v>0</v>
      </c>
      <c r="I7" s="1">
        <f ca="1">INDEX(tblGroupTotals[],MATCH(tblGroupThirdPlaceRank[[#This Row],[Table_Rank_Code]],tblGroupTotals[Table_Rank_Code],0),MATCH(tblGroupThirdPlaceRank[[#Headers],[Total_Wins]],tblGroupTotals[#Headers],0))</f>
        <v>0</v>
      </c>
      <c r="J7" s="1">
        <f ca="1">INDEX(tblGroupTotals[],MATCH(tblGroupThirdPlaceRank[[#This Row],[Table_Rank_Code]],tblGroupTotals[Table_Rank_Code],0),MATCH(tblGroupThirdPlaceRank[[#Headers],[Total_Draws]],tblGroupTotals[#Headers],0))</f>
        <v>0</v>
      </c>
      <c r="K7" s="1">
        <f ca="1">INDEX(tblGroupTotals[],MATCH(tblGroupThirdPlaceRank[[#This Row],[Table_Rank_Code]],tblGroupTotals[Table_Rank_Code],0),MATCH(tblGroupThirdPlaceRank[[#Headers],[Total_Loses]],tblGroupTotals[#Headers],0))</f>
        <v>0</v>
      </c>
      <c r="L7" s="1">
        <f ca="1">INDEX(tblGroupTotals[],MATCH(tblGroupThirdPlaceRank[[#This Row],[Table_Rank_Code]],tblGroupTotals[Table_Rank_Code],0),MATCH(tblGroupThirdPlaceRank[[#Headers],[Total_Yellow_Cards]],tblGroupTotals[#Headers],0))</f>
        <v>0</v>
      </c>
      <c r="M7" s="1">
        <f ca="1">INDEX(tblGroupTotals[],MATCH(tblGroupThirdPlaceRank[[#This Row],[Table_Rank_Code]],tblGroupTotals[Table_Rank_Code],0),MATCH(tblGroupThirdPlaceRank[[#Headers],[Total_Red_Cards]],tblGroupTotals[#Headers],0))</f>
        <v>0</v>
      </c>
      <c r="N7" s="1">
        <f ca="1">INDEX(tblGroupTotals[],MATCH(tblGroupThirdPlaceRank[[#This Row],[Table_Rank_Code]],tblGroupTotals[Table_Rank_Code],0),MATCH(tblGroupThirdPlaceRank[[#Headers],[Total_Diciplinary_Points]],tblGroupTotals[#Headers],0))</f>
        <v>0</v>
      </c>
      <c r="O7" s="1">
        <f ca="1">INDEX(tblGroupTotals[],MATCH(tblGroupThirdPlaceRank[[#This Row],[Table_Rank_Code]],tblGroupTotals[Table_Rank_Code],0),MATCH(tblGroupThirdPlaceRank[[#Headers],[Qualifier_Rank_Position]],tblGroupTotals[#Headers],0))</f>
        <v>17</v>
      </c>
      <c r="P7" s="1">
        <f ca="1">_xlfn.RANK.EQ(tblGroupThirdPlaceRank[[#This Row],[Total_Points]],tblGroupThirdPlaceRank[Total_Points],0)</f>
        <v>1</v>
      </c>
      <c r="Q7" s="1">
        <f ca="1">_xlfn.RANK.EQ(tblGroupThirdPlaceRank[[#This Row],[Goal_Difference]],tblGroupThirdPlaceRank[Goal_Difference],0)</f>
        <v>1</v>
      </c>
      <c r="R7" s="1">
        <f ca="1">_xlfn.RANK.EQ(tblGroupThirdPlaceRank[[#This Row],[Total_Goals_For]],tblGroupThirdPlaceRank[Total_Goals_For],0)</f>
        <v>1</v>
      </c>
      <c r="S7" s="1">
        <f ca="1">_xlfn.RANK.EQ(tblGroupThirdPlaceRank[[#This Row],[Total_Wins]],tblGroupThirdPlaceRank[Total_Wins],0)</f>
        <v>1</v>
      </c>
      <c r="T7" s="1">
        <f ca="1">_xlfn.RANK.EQ(tblGroupThirdPlaceRank[[#This Row],[Total_Diciplinary_Points]],tblGroupThirdPlaceRank[Total_Diciplinary_Points],1)</f>
        <v>1</v>
      </c>
      <c r="U7" s="1">
        <f ca="1">_xlfn.RANK.EQ(tblGroupThirdPlaceRank[[#This Row],[Qualifier_Rank_Position]],tblGroupThirdPlaceRank[Qualifier_Rank_Position],1)</f>
        <v>5</v>
      </c>
      <c r="V7"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111115</v>
      </c>
      <c r="W7" s="1">
        <f ca="1">_xlfn.RANK.EQ(tblGroupThirdPlaceRank[[#This Row],[Total_Group_Rank_Value]],tblGroupThirdPlaceRank[Total_Group_Rank_Value],1)</f>
        <v>5</v>
      </c>
      <c r="X7" s="1" t="str">
        <f ca="1">LEFT(tblGroupThirdPlaceRank[[#This Row],[Total_Group_Rank_Value]],4)</f>
        <v>1111</v>
      </c>
      <c r="Y7" s="1" t="str">
        <f ca="1">LEFT(tblGroupThirdPlaceRank[[#This Row],[Total_Group_Rank_Value]],5)</f>
        <v>11111</v>
      </c>
      <c r="Z7" s="1" t="b">
        <f ca="1">COUNTIF(tblGroupThirdPlaceRank[Table_Rank_Value],tblGroupThirdPlaceRank[[#This Row],[Table_Rank_Value]])&gt;1</f>
        <v>1</v>
      </c>
      <c r="AA7" s="1" t="b">
        <f ca="1">COUNTIF(tblGroupThirdPlaceRank[Disciplinary_Rank_Value],tblGroupThirdPlaceRank[[#This Row],[Disciplinary_Rank_Value]])&gt;1</f>
        <v>1</v>
      </c>
      <c r="AB7"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(17)</v>
      </c>
      <c r="AC7" s="1" t="str">
        <f>LEFT(tblGroupThirdPlaceRank[[#This Row],[Table_Rank_Code]],1)</f>
        <v>E</v>
      </c>
      <c r="AF7" s="1">
        <v>5</v>
      </c>
      <c r="AG7" s="1" t="b">
        <v>1</v>
      </c>
      <c r="AH7" s="1" t="b">
        <v>1</v>
      </c>
      <c r="AI7" s="1" t="b">
        <v>0</v>
      </c>
      <c r="AJ7" s="1" t="b">
        <v>1</v>
      </c>
      <c r="AK7" s="1" t="b">
        <v>0</v>
      </c>
      <c r="AL7" s="1" t="b">
        <v>1</v>
      </c>
      <c r="AM7" s="1" t="b">
        <f ca="1">COUNTIFS(tblGroupThirdPlaceRank[Group_Code],tblThirdPlaceSequence[[#Headers],[A]],tblGroupThirdPlaceRank[Total_Group_Rank],"&lt;5")&gt;0</f>
        <v>1</v>
      </c>
      <c r="AN7" s="1" t="b">
        <f ca="1">COUNTIFS(tblGroupThirdPlaceRank[Group_Code],tblThirdPlaceSequence[[#Headers],[B]],tblGroupThirdPlaceRank[Total_Group_Rank],"&lt;5")&gt;0</f>
        <v>1</v>
      </c>
      <c r="AO7" s="1" t="b">
        <f ca="1">COUNTIFS(tblGroupThirdPlaceRank[Group_Code],tblThirdPlaceSequence[[#Headers],[C]],tblGroupThirdPlaceRank[Total_Group_Rank],"&lt;5")&gt;0</f>
        <v>1</v>
      </c>
      <c r="AP7" s="1" t="b">
        <f ca="1">COUNTIFS(tblGroupThirdPlaceRank[Group_Code],tblThirdPlaceSequence[[#Headers],[D]],tblGroupThirdPlaceRank[Total_Group_Rank],"&lt;5")&gt;0</f>
        <v>0</v>
      </c>
      <c r="AQ7" s="1" t="b">
        <f ca="1">COUNTIFS(tblGroupThirdPlaceRank[Group_Code],tblThirdPlaceSequence[[#Headers],[E]],tblGroupThirdPlaceRank[Total_Group_Rank],"&lt;5")&gt;0</f>
        <v>0</v>
      </c>
      <c r="AR7" s="1" t="b">
        <f ca="1">COUNTIFS(tblGroupThirdPlaceRank[Group_Code],tblThirdPlaceSequence[[#Headers],[F]],tblGroupThirdPlaceRank[Total_Group_Rank],"&lt;5")&gt;0</f>
        <v>1</v>
      </c>
      <c r="AS7"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7" s="1" t="s">
        <v>229</v>
      </c>
      <c r="AU7" s="1" t="s">
        <v>237</v>
      </c>
      <c r="AV7" s="1" t="s">
        <v>198</v>
      </c>
      <c r="AW7" s="1" t="s">
        <v>221</v>
      </c>
    </row>
    <row r="8" spans="2:49" x14ac:dyDescent="0.25">
      <c r="B8" s="1" t="s">
        <v>237</v>
      </c>
      <c r="C8" s="1">
        <f ca="1">INDEX(tblGroupTotals[],MATCH(tblGroupThirdPlaceRank[[#This Row],[Table_Rank_Code]],tblGroupTotals[Table_Rank_Code],0),MATCH(tblGroupThirdPlaceRank[[#Headers],[Team_Number]],tblGroupTotals[#Headers],0))</f>
        <v>22</v>
      </c>
      <c r="D8" s="1">
        <f ca="1">INDEX(tblGroupTotals[],MATCH(tblGroupThirdPlaceRank[[#This Row],[Table_Rank_Code]],tblGroupTotals[Table_Rank_Code],0),MATCH(tblGroupThirdPlaceRank[[#Headers],[Total_Games]],tblGroupTotals[#Headers],0))</f>
        <v>0</v>
      </c>
      <c r="E8" s="1">
        <f ca="1">INDEX(tblGroupTotals[],MATCH(tblGroupThirdPlaceRank[[#This Row],[Table_Rank_Code]],tblGroupTotals[Table_Rank_Code],0),MATCH(tblGroupThirdPlaceRank[[#Headers],[Total_Points]],tblGroupTotals[#Headers],0))</f>
        <v>0</v>
      </c>
      <c r="F8" s="1">
        <f ca="1">INDEX(tblGroupTotals[],MATCH(tblGroupThirdPlaceRank[[#This Row],[Table_Rank_Code]],tblGroupTotals[Table_Rank_Code],0),MATCH(tblGroupThirdPlaceRank[[#Headers],[Goal_Difference]],tblGroupTotals[#Headers],0))</f>
        <v>0</v>
      </c>
      <c r="G8" s="1">
        <f ca="1">INDEX(tblGroupTotals[],MATCH(tblGroupThirdPlaceRank[[#This Row],[Table_Rank_Code]],tblGroupTotals[Table_Rank_Code],0),MATCH(tblGroupThirdPlaceRank[[#Headers],[Total_Goals_For]],tblGroupTotals[#Headers],0))</f>
        <v>0</v>
      </c>
      <c r="H8" s="1">
        <f ca="1">INDEX(tblGroupTotals[],MATCH(tblGroupThirdPlaceRank[[#This Row],[Table_Rank_Code]],tblGroupTotals[Table_Rank_Code],0),MATCH(tblGroupThirdPlaceRank[[#Headers],[Total_Goals_Against]],tblGroupTotals[#Headers],0))</f>
        <v>0</v>
      </c>
      <c r="I8" s="1">
        <f ca="1">INDEX(tblGroupTotals[],MATCH(tblGroupThirdPlaceRank[[#This Row],[Table_Rank_Code]],tblGroupTotals[Table_Rank_Code],0),MATCH(tblGroupThirdPlaceRank[[#Headers],[Total_Wins]],tblGroupTotals[#Headers],0))</f>
        <v>0</v>
      </c>
      <c r="J8" s="1">
        <f ca="1">INDEX(tblGroupTotals[],MATCH(tblGroupThirdPlaceRank[[#This Row],[Table_Rank_Code]],tblGroupTotals[Table_Rank_Code],0),MATCH(tblGroupThirdPlaceRank[[#Headers],[Total_Draws]],tblGroupTotals[#Headers],0))</f>
        <v>0</v>
      </c>
      <c r="K8" s="1">
        <f ca="1">INDEX(tblGroupTotals[],MATCH(tblGroupThirdPlaceRank[[#This Row],[Table_Rank_Code]],tblGroupTotals[Table_Rank_Code],0),MATCH(tblGroupThirdPlaceRank[[#Headers],[Total_Loses]],tblGroupTotals[#Headers],0))</f>
        <v>0</v>
      </c>
      <c r="L8" s="1">
        <f ca="1">INDEX(tblGroupTotals[],MATCH(tblGroupThirdPlaceRank[[#This Row],[Table_Rank_Code]],tblGroupTotals[Table_Rank_Code],0),MATCH(tblGroupThirdPlaceRank[[#Headers],[Total_Yellow_Cards]],tblGroupTotals[#Headers],0))</f>
        <v>0</v>
      </c>
      <c r="M8" s="1">
        <f ca="1">INDEX(tblGroupTotals[],MATCH(tblGroupThirdPlaceRank[[#This Row],[Table_Rank_Code]],tblGroupTotals[Table_Rank_Code],0),MATCH(tblGroupThirdPlaceRank[[#Headers],[Total_Red_Cards]],tblGroupTotals[#Headers],0))</f>
        <v>0</v>
      </c>
      <c r="N8" s="1">
        <f ca="1">INDEX(tblGroupTotals[],MATCH(tblGroupThirdPlaceRank[[#This Row],[Table_Rank_Code]],tblGroupTotals[Table_Rank_Code],0),MATCH(tblGroupThirdPlaceRank[[#Headers],[Total_Diciplinary_Points]],tblGroupTotals[#Headers],0))</f>
        <v>0</v>
      </c>
      <c r="O8" s="1">
        <f ca="1">INDEX(tblGroupTotals[],MATCH(tblGroupThirdPlaceRank[[#This Row],[Table_Rank_Code]],tblGroupTotals[Table_Rank_Code],0),MATCH(tblGroupThirdPlaceRank[[#Headers],[Qualifier_Rank_Position]],tblGroupTotals[#Headers],0))</f>
        <v>13</v>
      </c>
      <c r="P8" s="1">
        <f ca="1">_xlfn.RANK.EQ(tblGroupThirdPlaceRank[[#This Row],[Total_Points]],tblGroupThirdPlaceRank[Total_Points],0)</f>
        <v>1</v>
      </c>
      <c r="Q8" s="1">
        <f ca="1">_xlfn.RANK.EQ(tblGroupThirdPlaceRank[[#This Row],[Goal_Difference]],tblGroupThirdPlaceRank[Goal_Difference],0)</f>
        <v>1</v>
      </c>
      <c r="R8" s="1">
        <f ca="1">_xlfn.RANK.EQ(tblGroupThirdPlaceRank[[#This Row],[Total_Goals_For]],tblGroupThirdPlaceRank[Total_Goals_For],0)</f>
        <v>1</v>
      </c>
      <c r="S8" s="1">
        <f ca="1">_xlfn.RANK.EQ(tblGroupThirdPlaceRank[[#This Row],[Total_Wins]],tblGroupThirdPlaceRank[Total_Wins],0)</f>
        <v>1</v>
      </c>
      <c r="T8" s="1">
        <f ca="1">_xlfn.RANK.EQ(tblGroupThirdPlaceRank[[#This Row],[Total_Diciplinary_Points]],tblGroupThirdPlaceRank[Total_Diciplinary_Points],1)</f>
        <v>1</v>
      </c>
      <c r="U8" s="1">
        <f ca="1">_xlfn.RANK.EQ(tblGroupThirdPlaceRank[[#This Row],[Qualifier_Rank_Position]],tblGroupThirdPlaceRank[Qualifier_Rank_Position],1)</f>
        <v>1</v>
      </c>
      <c r="V8"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111111</v>
      </c>
      <c r="W8" s="1">
        <f ca="1">_xlfn.RANK.EQ(tblGroupThirdPlaceRank[[#This Row],[Total_Group_Rank_Value]],tblGroupThirdPlaceRank[Total_Group_Rank_Value],1)</f>
        <v>1</v>
      </c>
      <c r="X8" s="1" t="str">
        <f ca="1">LEFT(tblGroupThirdPlaceRank[[#This Row],[Total_Group_Rank_Value]],4)</f>
        <v>1111</v>
      </c>
      <c r="Y8" s="1" t="str">
        <f ca="1">LEFT(tblGroupThirdPlaceRank[[#This Row],[Total_Group_Rank_Value]],5)</f>
        <v>11111</v>
      </c>
      <c r="Z8" s="1" t="b">
        <f ca="1">COUNTIF(tblGroupThirdPlaceRank[Table_Rank_Value],tblGroupThirdPlaceRank[[#This Row],[Table_Rank_Value]])&gt;1</f>
        <v>1</v>
      </c>
      <c r="AA8" s="1" t="b">
        <f ca="1">COUNTIF(tblGroupThirdPlaceRank[Disciplinary_Rank_Value],tblGroupThirdPlaceRank[[#This Row],[Disciplinary_Rank_Value]])&gt;1</f>
        <v>1</v>
      </c>
      <c r="AB8"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(13)</v>
      </c>
      <c r="AC8" s="1" t="str">
        <f>LEFT(tblGroupThirdPlaceRank[[#This Row],[Table_Rank_Code]],1)</f>
        <v>F</v>
      </c>
      <c r="AF8" s="1">
        <v>6</v>
      </c>
      <c r="AG8" s="1" t="b">
        <v>1</v>
      </c>
      <c r="AH8" s="1" t="b">
        <v>1</v>
      </c>
      <c r="AI8" s="1" t="b">
        <v>0</v>
      </c>
      <c r="AJ8" s="1" t="b">
        <v>0</v>
      </c>
      <c r="AK8" s="1" t="b">
        <v>1</v>
      </c>
      <c r="AL8" s="1" t="b">
        <v>1</v>
      </c>
      <c r="AM8" s="1" t="b">
        <f ca="1">COUNTIFS(tblGroupThirdPlaceRank[Group_Code],tblThirdPlaceSequence[[#Headers],[A]],tblGroupThirdPlaceRank[Total_Group_Rank],"&lt;5")&gt;0</f>
        <v>1</v>
      </c>
      <c r="AN8" s="1" t="b">
        <f ca="1">COUNTIFS(tblGroupThirdPlaceRank[Group_Code],tblThirdPlaceSequence[[#Headers],[B]],tblGroupThirdPlaceRank[Total_Group_Rank],"&lt;5")&gt;0</f>
        <v>1</v>
      </c>
      <c r="AO8" s="1" t="b">
        <f ca="1">COUNTIFS(tblGroupThirdPlaceRank[Group_Code],tblThirdPlaceSequence[[#Headers],[C]],tblGroupThirdPlaceRank[Total_Group_Rank],"&lt;5")&gt;0</f>
        <v>1</v>
      </c>
      <c r="AP8" s="1" t="b">
        <f ca="1">COUNTIFS(tblGroupThirdPlaceRank[Group_Code],tblThirdPlaceSequence[[#Headers],[D]],tblGroupThirdPlaceRank[Total_Group_Rank],"&lt;5")&gt;0</f>
        <v>0</v>
      </c>
      <c r="AQ8" s="1" t="b">
        <f ca="1">COUNTIFS(tblGroupThirdPlaceRank[Group_Code],tblThirdPlaceSequence[[#Headers],[E]],tblGroupThirdPlaceRank[Total_Group_Rank],"&lt;5")&gt;0</f>
        <v>0</v>
      </c>
      <c r="AR8" s="1" t="b">
        <f ca="1">COUNTIFS(tblGroupThirdPlaceRank[Group_Code],tblThirdPlaceSequence[[#Headers],[F]],tblGroupThirdPlaceRank[Total_Group_Rank],"&lt;5")&gt;0</f>
        <v>1</v>
      </c>
      <c r="AS8"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8" s="1" t="s">
        <v>233</v>
      </c>
      <c r="AU8" s="1" t="s">
        <v>237</v>
      </c>
      <c r="AV8" s="1" t="s">
        <v>221</v>
      </c>
      <c r="AW8" s="1" t="s">
        <v>198</v>
      </c>
    </row>
    <row r="9" spans="2:49" x14ac:dyDescent="0.25">
      <c r="AF9" s="1">
        <v>7</v>
      </c>
      <c r="AG9" s="1" t="b">
        <v>1</v>
      </c>
      <c r="AH9" s="1" t="b">
        <v>0</v>
      </c>
      <c r="AI9" s="1" t="b">
        <v>1</v>
      </c>
      <c r="AJ9" s="1" t="b">
        <v>1</v>
      </c>
      <c r="AK9" s="1" t="b">
        <v>1</v>
      </c>
      <c r="AL9" s="1" t="b">
        <v>0</v>
      </c>
      <c r="AM9" s="1" t="b">
        <f ca="1">COUNTIFS(tblGroupThirdPlaceRank[Group_Code],tblThirdPlaceSequence[[#Headers],[A]],tblGroupThirdPlaceRank[Total_Group_Rank],"&lt;5")&gt;0</f>
        <v>1</v>
      </c>
      <c r="AN9" s="1" t="b">
        <f ca="1">COUNTIFS(tblGroupThirdPlaceRank[Group_Code],tblThirdPlaceSequence[[#Headers],[B]],tblGroupThirdPlaceRank[Total_Group_Rank],"&lt;5")&gt;0</f>
        <v>1</v>
      </c>
      <c r="AO9" s="1" t="b">
        <f ca="1">COUNTIFS(tblGroupThirdPlaceRank[Group_Code],tblThirdPlaceSequence[[#Headers],[C]],tblGroupThirdPlaceRank[Total_Group_Rank],"&lt;5")&gt;0</f>
        <v>1</v>
      </c>
      <c r="AP9" s="1" t="b">
        <f ca="1">COUNTIFS(tblGroupThirdPlaceRank[Group_Code],tblThirdPlaceSequence[[#Headers],[D]],tblGroupThirdPlaceRank[Total_Group_Rank],"&lt;5")&gt;0</f>
        <v>0</v>
      </c>
      <c r="AQ9" s="1" t="b">
        <f ca="1">COUNTIFS(tblGroupThirdPlaceRank[Group_Code],tblThirdPlaceSequence[[#Headers],[E]],tblGroupThirdPlaceRank[Total_Group_Rank],"&lt;5")&gt;0</f>
        <v>0</v>
      </c>
      <c r="AR9" s="1" t="b">
        <f ca="1">COUNTIFS(tblGroupThirdPlaceRank[Group_Code],tblThirdPlaceSequence[[#Headers],[F]],tblGroupThirdPlaceRank[Total_Group_Rank],"&lt;5")&gt;0</f>
        <v>1</v>
      </c>
      <c r="AS9"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9" s="1" t="s">
        <v>233</v>
      </c>
      <c r="AU9" s="1" t="s">
        <v>229</v>
      </c>
      <c r="AV9" s="1" t="s">
        <v>225</v>
      </c>
      <c r="AW9" s="1" t="s">
        <v>198</v>
      </c>
    </row>
    <row r="10" spans="2:49" x14ac:dyDescent="0.25">
      <c r="AF10" s="1">
        <v>8</v>
      </c>
      <c r="AG10" s="1" t="b">
        <v>1</v>
      </c>
      <c r="AH10" s="1" t="b">
        <v>0</v>
      </c>
      <c r="AI10" s="1" t="b">
        <v>1</v>
      </c>
      <c r="AJ10" s="1" t="b">
        <v>1</v>
      </c>
      <c r="AK10" s="1" t="b">
        <v>0</v>
      </c>
      <c r="AL10" s="1" t="b">
        <v>1</v>
      </c>
      <c r="AM10" s="1" t="b">
        <f ca="1">COUNTIFS(tblGroupThirdPlaceRank[Group_Code],tblThirdPlaceSequence[[#Headers],[A]],tblGroupThirdPlaceRank[Total_Group_Rank],"&lt;5")&gt;0</f>
        <v>1</v>
      </c>
      <c r="AN10" s="1" t="b">
        <f ca="1">COUNTIFS(tblGroupThirdPlaceRank[Group_Code],tblThirdPlaceSequence[[#Headers],[B]],tblGroupThirdPlaceRank[Total_Group_Rank],"&lt;5")&gt;0</f>
        <v>1</v>
      </c>
      <c r="AO10" s="1" t="b">
        <f ca="1">COUNTIFS(tblGroupThirdPlaceRank[Group_Code],tblThirdPlaceSequence[[#Headers],[C]],tblGroupThirdPlaceRank[Total_Group_Rank],"&lt;5")&gt;0</f>
        <v>1</v>
      </c>
      <c r="AP10" s="1" t="b">
        <f ca="1">COUNTIFS(tblGroupThirdPlaceRank[Group_Code],tblThirdPlaceSequence[[#Headers],[D]],tblGroupThirdPlaceRank[Total_Group_Rank],"&lt;5")&gt;0</f>
        <v>0</v>
      </c>
      <c r="AQ10" s="1" t="b">
        <f ca="1">COUNTIFS(tblGroupThirdPlaceRank[Group_Code],tblThirdPlaceSequence[[#Headers],[E]],tblGroupThirdPlaceRank[Total_Group_Rank],"&lt;5")&gt;0</f>
        <v>0</v>
      </c>
      <c r="AR10" s="1" t="b">
        <f ca="1">COUNTIFS(tblGroupThirdPlaceRank[Group_Code],tblThirdPlaceSequence[[#Headers],[F]],tblGroupThirdPlaceRank[Total_Group_Rank],"&lt;5")&gt;0</f>
        <v>1</v>
      </c>
      <c r="AS10"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0" s="1" t="s">
        <v>237</v>
      </c>
      <c r="AU10" s="1" t="s">
        <v>229</v>
      </c>
      <c r="AV10" s="1" t="s">
        <v>225</v>
      </c>
      <c r="AW10" s="1" t="s">
        <v>198</v>
      </c>
    </row>
    <row r="11" spans="2:49" x14ac:dyDescent="0.25">
      <c r="AF11" s="1">
        <v>9</v>
      </c>
      <c r="AG11" s="1" t="b">
        <v>1</v>
      </c>
      <c r="AH11" s="1" t="b">
        <v>0</v>
      </c>
      <c r="AI11" s="1" t="b">
        <v>1</v>
      </c>
      <c r="AJ11" s="1" t="b">
        <v>0</v>
      </c>
      <c r="AK11" s="1" t="b">
        <v>1</v>
      </c>
      <c r="AL11" s="1" t="b">
        <v>1</v>
      </c>
      <c r="AM11" s="1" t="b">
        <f ca="1">COUNTIFS(tblGroupThirdPlaceRank[Group_Code],tblThirdPlaceSequence[[#Headers],[A]],tblGroupThirdPlaceRank[Total_Group_Rank],"&lt;5")&gt;0</f>
        <v>1</v>
      </c>
      <c r="AN11" s="1" t="b">
        <f ca="1">COUNTIFS(tblGroupThirdPlaceRank[Group_Code],tblThirdPlaceSequence[[#Headers],[B]],tblGroupThirdPlaceRank[Total_Group_Rank],"&lt;5")&gt;0</f>
        <v>1</v>
      </c>
      <c r="AO11" s="1" t="b">
        <f ca="1">COUNTIFS(tblGroupThirdPlaceRank[Group_Code],tblThirdPlaceSequence[[#Headers],[C]],tblGroupThirdPlaceRank[Total_Group_Rank],"&lt;5")&gt;0</f>
        <v>1</v>
      </c>
      <c r="AP11" s="1" t="b">
        <f ca="1">COUNTIFS(tblGroupThirdPlaceRank[Group_Code],tblThirdPlaceSequence[[#Headers],[D]],tblGroupThirdPlaceRank[Total_Group_Rank],"&lt;5")&gt;0</f>
        <v>0</v>
      </c>
      <c r="AQ11" s="1" t="b">
        <f ca="1">COUNTIFS(tblGroupThirdPlaceRank[Group_Code],tblThirdPlaceSequence[[#Headers],[E]],tblGroupThirdPlaceRank[Total_Group_Rank],"&lt;5")&gt;0</f>
        <v>0</v>
      </c>
      <c r="AR11" s="1" t="b">
        <f ca="1">COUNTIFS(tblGroupThirdPlaceRank[Group_Code],tblThirdPlaceSequence[[#Headers],[F]],tblGroupThirdPlaceRank[Total_Group_Rank],"&lt;5")&gt;0</f>
        <v>1</v>
      </c>
      <c r="AS11"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1" s="1" t="s">
        <v>233</v>
      </c>
      <c r="AU11" s="1" t="s">
        <v>237</v>
      </c>
      <c r="AV11" s="1" t="s">
        <v>225</v>
      </c>
      <c r="AW11" s="1" t="s">
        <v>198</v>
      </c>
    </row>
    <row r="12" spans="2:49" x14ac:dyDescent="0.25">
      <c r="AF12" s="1">
        <v>10</v>
      </c>
      <c r="AG12" s="1" t="b">
        <v>1</v>
      </c>
      <c r="AH12" s="1" t="b">
        <v>0</v>
      </c>
      <c r="AI12" s="1" t="b">
        <v>0</v>
      </c>
      <c r="AJ12" s="1" t="b">
        <v>1</v>
      </c>
      <c r="AK12" s="1" t="b">
        <v>1</v>
      </c>
      <c r="AL12" s="1" t="b">
        <v>1</v>
      </c>
      <c r="AM12" s="1" t="b">
        <f ca="1">COUNTIFS(tblGroupThirdPlaceRank[Group_Code],tblThirdPlaceSequence[[#Headers],[A]],tblGroupThirdPlaceRank[Total_Group_Rank],"&lt;5")&gt;0</f>
        <v>1</v>
      </c>
      <c r="AN12" s="1" t="b">
        <f ca="1">COUNTIFS(tblGroupThirdPlaceRank[Group_Code],tblThirdPlaceSequence[[#Headers],[B]],tblGroupThirdPlaceRank[Total_Group_Rank],"&lt;5")&gt;0</f>
        <v>1</v>
      </c>
      <c r="AO12" s="1" t="b">
        <f ca="1">COUNTIFS(tblGroupThirdPlaceRank[Group_Code],tblThirdPlaceSequence[[#Headers],[C]],tblGroupThirdPlaceRank[Total_Group_Rank],"&lt;5")&gt;0</f>
        <v>1</v>
      </c>
      <c r="AP12" s="1" t="b">
        <f ca="1">COUNTIFS(tblGroupThirdPlaceRank[Group_Code],tblThirdPlaceSequence[[#Headers],[D]],tblGroupThirdPlaceRank[Total_Group_Rank],"&lt;5")&gt;0</f>
        <v>0</v>
      </c>
      <c r="AQ12" s="1" t="b">
        <f ca="1">COUNTIFS(tblGroupThirdPlaceRank[Group_Code],tblThirdPlaceSequence[[#Headers],[E]],tblGroupThirdPlaceRank[Total_Group_Rank],"&lt;5")&gt;0</f>
        <v>0</v>
      </c>
      <c r="AR12" s="1" t="b">
        <f ca="1">COUNTIFS(tblGroupThirdPlaceRank[Group_Code],tblThirdPlaceSequence[[#Headers],[F]],tblGroupThirdPlaceRank[Total_Group_Rank],"&lt;5")&gt;0</f>
        <v>1</v>
      </c>
      <c r="AS12"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2" s="1" t="s">
        <v>233</v>
      </c>
      <c r="AU12" s="1" t="s">
        <v>237</v>
      </c>
      <c r="AV12" s="1" t="s">
        <v>229</v>
      </c>
      <c r="AW12" s="1" t="s">
        <v>198</v>
      </c>
    </row>
    <row r="13" spans="2:49" x14ac:dyDescent="0.25">
      <c r="AF13" s="1">
        <v>11</v>
      </c>
      <c r="AG13" s="1" t="b">
        <v>0</v>
      </c>
      <c r="AH13" s="1" t="b">
        <v>1</v>
      </c>
      <c r="AI13" s="1" t="b">
        <v>1</v>
      </c>
      <c r="AJ13" s="1" t="b">
        <v>1</v>
      </c>
      <c r="AK13" s="1" t="b">
        <v>1</v>
      </c>
      <c r="AL13" s="1" t="b">
        <v>0</v>
      </c>
      <c r="AM13" s="1" t="b">
        <f ca="1">COUNTIFS(tblGroupThirdPlaceRank[Group_Code],tblThirdPlaceSequence[[#Headers],[A]],tblGroupThirdPlaceRank[Total_Group_Rank],"&lt;5")&gt;0</f>
        <v>1</v>
      </c>
      <c r="AN13" s="1" t="b">
        <f ca="1">COUNTIFS(tblGroupThirdPlaceRank[Group_Code],tblThirdPlaceSequence[[#Headers],[B]],tblGroupThirdPlaceRank[Total_Group_Rank],"&lt;5")&gt;0</f>
        <v>1</v>
      </c>
      <c r="AO13" s="1" t="b">
        <f ca="1">COUNTIFS(tblGroupThirdPlaceRank[Group_Code],tblThirdPlaceSequence[[#Headers],[C]],tblGroupThirdPlaceRank[Total_Group_Rank],"&lt;5")&gt;0</f>
        <v>1</v>
      </c>
      <c r="AP13" s="1" t="b">
        <f ca="1">COUNTIFS(tblGroupThirdPlaceRank[Group_Code],tblThirdPlaceSequence[[#Headers],[D]],tblGroupThirdPlaceRank[Total_Group_Rank],"&lt;5")&gt;0</f>
        <v>0</v>
      </c>
      <c r="AQ13" s="1" t="b">
        <f ca="1">COUNTIFS(tblGroupThirdPlaceRank[Group_Code],tblThirdPlaceSequence[[#Headers],[E]],tblGroupThirdPlaceRank[Total_Group_Rank],"&lt;5")&gt;0</f>
        <v>0</v>
      </c>
      <c r="AR13" s="1" t="b">
        <f ca="1">COUNTIFS(tblGroupThirdPlaceRank[Group_Code],tblThirdPlaceSequence[[#Headers],[F]],tblGroupThirdPlaceRank[Total_Group_Rank],"&lt;5")&gt;0</f>
        <v>1</v>
      </c>
      <c r="AS13"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3" s="1" t="s">
        <v>233</v>
      </c>
      <c r="AU13" s="1" t="s">
        <v>229</v>
      </c>
      <c r="AV13" s="1" t="s">
        <v>221</v>
      </c>
      <c r="AW13" s="1" t="s">
        <v>225</v>
      </c>
    </row>
    <row r="14" spans="2:49" x14ac:dyDescent="0.25">
      <c r="AF14" s="1">
        <v>12</v>
      </c>
      <c r="AG14" s="1" t="b">
        <v>0</v>
      </c>
      <c r="AH14" s="1" t="b">
        <v>1</v>
      </c>
      <c r="AI14" s="1" t="b">
        <v>1</v>
      </c>
      <c r="AJ14" s="1" t="b">
        <v>0</v>
      </c>
      <c r="AK14" s="1" t="b">
        <v>0</v>
      </c>
      <c r="AL14" s="1" t="b">
        <v>1</v>
      </c>
      <c r="AM14" s="1" t="b">
        <f ca="1">COUNTIFS(tblGroupThirdPlaceRank[Group_Code],tblThirdPlaceSequence[[#Headers],[A]],tblGroupThirdPlaceRank[Total_Group_Rank],"&lt;5")&gt;0</f>
        <v>1</v>
      </c>
      <c r="AN14" s="1" t="b">
        <f ca="1">COUNTIFS(tblGroupThirdPlaceRank[Group_Code],tblThirdPlaceSequence[[#Headers],[B]],tblGroupThirdPlaceRank[Total_Group_Rank],"&lt;5")&gt;0</f>
        <v>1</v>
      </c>
      <c r="AO14" s="1" t="b">
        <f ca="1">COUNTIFS(tblGroupThirdPlaceRank[Group_Code],tblThirdPlaceSequence[[#Headers],[C]],tblGroupThirdPlaceRank[Total_Group_Rank],"&lt;5")&gt;0</f>
        <v>1</v>
      </c>
      <c r="AP14" s="1" t="b">
        <f ca="1">COUNTIFS(tblGroupThirdPlaceRank[Group_Code],tblThirdPlaceSequence[[#Headers],[D]],tblGroupThirdPlaceRank[Total_Group_Rank],"&lt;5")&gt;0</f>
        <v>0</v>
      </c>
      <c r="AQ14" s="1" t="b">
        <f ca="1">COUNTIFS(tblGroupThirdPlaceRank[Group_Code],tblThirdPlaceSequence[[#Headers],[E]],tblGroupThirdPlaceRank[Total_Group_Rank],"&lt;5")&gt;0</f>
        <v>0</v>
      </c>
      <c r="AR14" s="1" t="b">
        <f ca="1">COUNTIFS(tblGroupThirdPlaceRank[Group_Code],tblThirdPlaceSequence[[#Headers],[F]],tblGroupThirdPlaceRank[Total_Group_Rank],"&lt;5")&gt;0</f>
        <v>1</v>
      </c>
      <c r="AS14"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4" s="1" t="s">
        <v>237</v>
      </c>
      <c r="AU14" s="1" t="s">
        <v>229</v>
      </c>
      <c r="AV14" s="1" t="s">
        <v>225</v>
      </c>
      <c r="AW14" s="1" t="s">
        <v>221</v>
      </c>
    </row>
    <row r="15" spans="2:49" x14ac:dyDescent="0.25">
      <c r="AF15" s="1">
        <v>13</v>
      </c>
      <c r="AG15" s="1" t="b">
        <v>0</v>
      </c>
      <c r="AH15" s="1" t="b">
        <v>1</v>
      </c>
      <c r="AI15" s="1" t="b">
        <v>1</v>
      </c>
      <c r="AJ15" s="1" t="b">
        <v>0</v>
      </c>
      <c r="AK15" s="1" t="b">
        <v>1</v>
      </c>
      <c r="AL15" s="1" t="b">
        <v>1</v>
      </c>
      <c r="AM15" s="1" t="b">
        <f ca="1">COUNTIFS(tblGroupThirdPlaceRank[Group_Code],tblThirdPlaceSequence[[#Headers],[A]],tblGroupThirdPlaceRank[Total_Group_Rank],"&lt;5")&gt;0</f>
        <v>1</v>
      </c>
      <c r="AN15" s="1" t="b">
        <f ca="1">COUNTIFS(tblGroupThirdPlaceRank[Group_Code],tblThirdPlaceSequence[[#Headers],[B]],tblGroupThirdPlaceRank[Total_Group_Rank],"&lt;5")&gt;0</f>
        <v>1</v>
      </c>
      <c r="AO15" s="1" t="b">
        <f ca="1">COUNTIFS(tblGroupThirdPlaceRank[Group_Code],tblThirdPlaceSequence[[#Headers],[C]],tblGroupThirdPlaceRank[Total_Group_Rank],"&lt;5")&gt;0</f>
        <v>1</v>
      </c>
      <c r="AP15" s="1" t="b">
        <f ca="1">COUNTIFS(tblGroupThirdPlaceRank[Group_Code],tblThirdPlaceSequence[[#Headers],[D]],tblGroupThirdPlaceRank[Total_Group_Rank],"&lt;5")&gt;0</f>
        <v>0</v>
      </c>
      <c r="AQ15" s="1" t="b">
        <f ca="1">COUNTIFS(tblGroupThirdPlaceRank[Group_Code],tblThirdPlaceSequence[[#Headers],[E]],tblGroupThirdPlaceRank[Total_Group_Rank],"&lt;5")&gt;0</f>
        <v>0</v>
      </c>
      <c r="AR15" s="1" t="b">
        <f ca="1">COUNTIFS(tblGroupThirdPlaceRank[Group_Code],tblThirdPlaceSequence[[#Headers],[F]],tblGroupThirdPlaceRank[Total_Group_Rank],"&lt;5")&gt;0</f>
        <v>1</v>
      </c>
      <c r="AS15"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5" s="1" t="s">
        <v>237</v>
      </c>
      <c r="AU15" s="1" t="s">
        <v>233</v>
      </c>
      <c r="AV15" s="1" t="s">
        <v>225</v>
      </c>
      <c r="AW15" s="1" t="s">
        <v>221</v>
      </c>
    </row>
    <row r="16" spans="2:49" x14ac:dyDescent="0.25">
      <c r="AF16" s="1">
        <v>14</v>
      </c>
      <c r="AG16" s="1" t="b">
        <v>0</v>
      </c>
      <c r="AH16" s="1" t="b">
        <v>1</v>
      </c>
      <c r="AI16" s="1" t="b">
        <v>0</v>
      </c>
      <c r="AJ16" s="1" t="b">
        <v>1</v>
      </c>
      <c r="AK16" s="1" t="b">
        <v>1</v>
      </c>
      <c r="AL16" s="1" t="b">
        <v>1</v>
      </c>
      <c r="AM16" s="1" t="b">
        <f ca="1">COUNTIFS(tblGroupThirdPlaceRank[Group_Code],tblThirdPlaceSequence[[#Headers],[A]],tblGroupThirdPlaceRank[Total_Group_Rank],"&lt;5")&gt;0</f>
        <v>1</v>
      </c>
      <c r="AN16" s="1" t="b">
        <f ca="1">COUNTIFS(tblGroupThirdPlaceRank[Group_Code],tblThirdPlaceSequence[[#Headers],[B]],tblGroupThirdPlaceRank[Total_Group_Rank],"&lt;5")&gt;0</f>
        <v>1</v>
      </c>
      <c r="AO16" s="1" t="b">
        <f ca="1">COUNTIFS(tblGroupThirdPlaceRank[Group_Code],tblThirdPlaceSequence[[#Headers],[C]],tblGroupThirdPlaceRank[Total_Group_Rank],"&lt;5")&gt;0</f>
        <v>1</v>
      </c>
      <c r="AP16" s="1" t="b">
        <f ca="1">COUNTIFS(tblGroupThirdPlaceRank[Group_Code],tblThirdPlaceSequence[[#Headers],[D]],tblGroupThirdPlaceRank[Total_Group_Rank],"&lt;5")&gt;0</f>
        <v>0</v>
      </c>
      <c r="AQ16" s="1" t="b">
        <f ca="1">COUNTIFS(tblGroupThirdPlaceRank[Group_Code],tblThirdPlaceSequence[[#Headers],[E]],tblGroupThirdPlaceRank[Total_Group_Rank],"&lt;5")&gt;0</f>
        <v>0</v>
      </c>
      <c r="AR16" s="1" t="b">
        <f ca="1">COUNTIFS(tblGroupThirdPlaceRank[Group_Code],tblThirdPlaceSequence[[#Headers],[F]],tblGroupThirdPlaceRank[Total_Group_Rank],"&lt;5")&gt;0</f>
        <v>1</v>
      </c>
      <c r="AS16"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6" s="1" t="s">
        <v>237</v>
      </c>
      <c r="AU16" s="1" t="s">
        <v>233</v>
      </c>
      <c r="AV16" s="1" t="s">
        <v>229</v>
      </c>
      <c r="AW16" s="1" t="s">
        <v>221</v>
      </c>
    </row>
    <row r="17" spans="32:49" x14ac:dyDescent="0.25">
      <c r="AF17" s="1">
        <v>15</v>
      </c>
      <c r="AG17" s="1" t="b">
        <v>0</v>
      </c>
      <c r="AH17" s="1" t="b">
        <v>0</v>
      </c>
      <c r="AI17" s="1" t="b">
        <v>1</v>
      </c>
      <c r="AJ17" s="1" t="b">
        <v>1</v>
      </c>
      <c r="AK17" s="1" t="b">
        <v>1</v>
      </c>
      <c r="AL17" s="1" t="b">
        <v>1</v>
      </c>
      <c r="AM17" s="1" t="b">
        <f ca="1">COUNTIFS(tblGroupThirdPlaceRank[Group_Code],tblThirdPlaceSequence[[#Headers],[A]],tblGroupThirdPlaceRank[Total_Group_Rank],"&lt;5")&gt;0</f>
        <v>1</v>
      </c>
      <c r="AN17" s="1" t="b">
        <f ca="1">COUNTIFS(tblGroupThirdPlaceRank[Group_Code],tblThirdPlaceSequence[[#Headers],[B]],tblGroupThirdPlaceRank[Total_Group_Rank],"&lt;5")&gt;0</f>
        <v>1</v>
      </c>
      <c r="AO17" s="1" t="b">
        <f ca="1">COUNTIFS(tblGroupThirdPlaceRank[Group_Code],tblThirdPlaceSequence[[#Headers],[C]],tblGroupThirdPlaceRank[Total_Group_Rank],"&lt;5")&gt;0</f>
        <v>1</v>
      </c>
      <c r="AP17" s="1" t="b">
        <f ca="1">COUNTIFS(tblGroupThirdPlaceRank[Group_Code],tblThirdPlaceSequence[[#Headers],[D]],tblGroupThirdPlaceRank[Total_Group_Rank],"&lt;5")&gt;0</f>
        <v>0</v>
      </c>
      <c r="AQ17" s="1" t="b">
        <f ca="1">COUNTIFS(tblGroupThirdPlaceRank[Group_Code],tblThirdPlaceSequence[[#Headers],[E]],tblGroupThirdPlaceRank[Total_Group_Rank],"&lt;5")&gt;0</f>
        <v>0</v>
      </c>
      <c r="AR17" s="1" t="b">
        <f ca="1">COUNTIFS(tblGroupThirdPlaceRank[Group_Code],tblThirdPlaceSequence[[#Headers],[F]],tblGroupThirdPlaceRank[Total_Group_Rank],"&lt;5")&gt;0</f>
        <v>1</v>
      </c>
      <c r="AS17"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7" s="1" t="s">
        <v>237</v>
      </c>
      <c r="AU17" s="1" t="s">
        <v>233</v>
      </c>
      <c r="AV17" s="1" t="s">
        <v>229</v>
      </c>
      <c r="AW17" s="1" t="s">
        <v>225</v>
      </c>
    </row>
  </sheetData>
  <phoneticPr fontId="2" type="noConversion"/>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DF714-C4D4-44E0-BB29-B756CB9F78B2}">
  <dimension ref="B1:AZ56"/>
  <sheetViews>
    <sheetView topLeftCell="S1" zoomScale="85" zoomScaleNormal="85" workbookViewId="0">
      <selection activeCell="Z22" sqref="Z22"/>
    </sheetView>
  </sheetViews>
  <sheetFormatPr defaultRowHeight="15" outlineLevelCol="1" x14ac:dyDescent="0.25"/>
  <cols>
    <col min="1" max="1" width="9.140625" style="1"/>
    <col min="2" max="2" width="17.7109375" style="1" customWidth="1"/>
    <col min="3" max="3" width="16.7109375" style="4" bestFit="1" customWidth="1"/>
    <col min="4" max="4" width="19.5703125" style="1" bestFit="1" customWidth="1"/>
    <col min="5" max="5" width="18.85546875" style="1" bestFit="1" customWidth="1"/>
    <col min="6" max="7" width="18.85546875" style="1" customWidth="1"/>
    <col min="8" max="9" width="9.42578125" style="1" customWidth="1"/>
    <col min="10" max="10" width="16.7109375" style="1" bestFit="1" customWidth="1"/>
    <col min="11" max="11" width="26.140625" style="2" bestFit="1" customWidth="1"/>
    <col min="12" max="12" width="25.5703125" style="2" bestFit="1" customWidth="1"/>
    <col min="13" max="13" width="16.7109375" style="6" customWidth="1"/>
    <col min="14" max="14" width="20.7109375" style="1" bestFit="1" customWidth="1"/>
    <col min="15" max="15" width="24.7109375" style="2" bestFit="1" customWidth="1"/>
    <col min="16" max="16" width="26.140625" style="1" bestFit="1" customWidth="1"/>
    <col min="17" max="17" width="19.85546875" style="1" bestFit="1" customWidth="1"/>
    <col min="18" max="18" width="19.85546875" style="1" customWidth="1"/>
    <col min="19" max="20" width="9.140625" style="1"/>
    <col min="21" max="21" width="19.5703125" style="1" bestFit="1" customWidth="1"/>
    <col min="22" max="22" width="16.28515625" style="1" bestFit="1" customWidth="1"/>
    <col min="23" max="23" width="19.85546875" style="1" bestFit="1" customWidth="1"/>
    <col min="24" max="24" width="18.42578125" style="1" bestFit="1" customWidth="1"/>
    <col min="25" max="25" width="18.42578125" style="1" customWidth="1"/>
    <col min="26" max="26" width="44" style="1" bestFit="1" customWidth="1"/>
    <col min="27" max="27" width="24.5703125" style="1" bestFit="1" customWidth="1"/>
    <col min="28" max="28" width="20.28515625" style="1" customWidth="1"/>
    <col min="29" max="30" width="9.140625" style="1"/>
    <col min="31" max="31" width="9.7109375" style="1" hidden="1" customWidth="1" outlineLevel="1"/>
    <col min="32" max="32" width="9.5703125" style="1" hidden="1" customWidth="1" outlineLevel="1"/>
    <col min="33" max="33" width="24.28515625" style="1" hidden="1" customWidth="1" outlineLevel="1"/>
    <col min="34" max="34" width="9" style="1" hidden="1" customWidth="1" outlineLevel="1"/>
    <col min="35" max="35" width="8.42578125" style="1" hidden="1" customWidth="1" outlineLevel="1"/>
    <col min="36" max="36" width="7.85546875" style="1" hidden="1" customWidth="1" outlineLevel="1"/>
    <col min="37" max="37" width="7.42578125" style="1" hidden="1" customWidth="1" outlineLevel="1"/>
    <col min="38" max="38" width="8.85546875" style="1" hidden="1" customWidth="1" outlineLevel="1"/>
    <col min="39" max="39" width="9" style="1" hidden="1" customWidth="1" outlineLevel="1"/>
    <col min="40" max="40" width="9.28515625" style="1" hidden="1" customWidth="1" outlineLevel="1"/>
    <col min="41" max="41" width="9" style="1" hidden="1" customWidth="1" outlineLevel="1"/>
    <col min="42" max="42" width="11.28515625" style="1" hidden="1" customWidth="1" outlineLevel="1"/>
    <col min="43" max="43" width="11.42578125" style="1" hidden="1" customWidth="1" outlineLevel="1"/>
    <col min="44" max="44" width="0" style="1" hidden="1" customWidth="1" outlineLevel="1"/>
    <col min="45" max="45" width="9.140625" style="1" collapsed="1"/>
    <col min="46" max="46" width="9.140625" style="1"/>
    <col min="47" max="47" width="20.85546875" style="1" customWidth="1"/>
    <col min="48" max="48" width="20.28515625" style="1" customWidth="1"/>
    <col min="49" max="49" width="14.7109375" style="1" customWidth="1"/>
    <col min="50" max="50" width="17.140625" style="1" customWidth="1"/>
    <col min="51" max="51" width="18.5703125" style="1" customWidth="1"/>
    <col min="52" max="52" width="15.5703125" style="1" bestFit="1" customWidth="1"/>
    <col min="53" max="16384" width="9.140625" style="1"/>
  </cols>
  <sheetData>
    <row r="1" spans="2:52" x14ac:dyDescent="0.25">
      <c r="B1" s="1" t="s">
        <v>24</v>
      </c>
      <c r="C1" s="4" t="s">
        <v>40</v>
      </c>
      <c r="D1" s="1" t="s">
        <v>35</v>
      </c>
      <c r="E1" s="1" t="s">
        <v>39</v>
      </c>
      <c r="F1" s="1" t="s">
        <v>191</v>
      </c>
      <c r="G1" s="1" t="s">
        <v>413</v>
      </c>
      <c r="J1" s="1" t="s">
        <v>40</v>
      </c>
      <c r="K1" s="2" t="s">
        <v>36</v>
      </c>
      <c r="L1" s="2" t="s">
        <v>37</v>
      </c>
      <c r="M1" s="6" t="s">
        <v>146</v>
      </c>
      <c r="N1" s="1" t="s">
        <v>147</v>
      </c>
      <c r="O1" s="2" t="s">
        <v>41</v>
      </c>
      <c r="P1" s="1" t="s">
        <v>38</v>
      </c>
      <c r="Q1" s="1" t="s">
        <v>149</v>
      </c>
      <c r="R1" s="1" t="s">
        <v>441</v>
      </c>
      <c r="U1" s="1" t="s">
        <v>157</v>
      </c>
      <c r="V1" s="1" t="s">
        <v>150</v>
      </c>
      <c r="W1" s="1" t="s">
        <v>151</v>
      </c>
      <c r="X1" s="1" t="s">
        <v>467</v>
      </c>
      <c r="Y1" s="1" t="s">
        <v>479</v>
      </c>
      <c r="Z1" s="1" t="s">
        <v>188</v>
      </c>
      <c r="AA1" s="1" t="s">
        <v>491</v>
      </c>
      <c r="AB1" s="1" t="s">
        <v>149</v>
      </c>
      <c r="AE1" s="1" t="s">
        <v>52</v>
      </c>
      <c r="AF1" s="1" t="s">
        <v>53</v>
      </c>
      <c r="AG1" s="1" t="s">
        <v>24</v>
      </c>
      <c r="AH1" s="1" t="s">
        <v>54</v>
      </c>
      <c r="AI1" s="1" t="s">
        <v>55</v>
      </c>
      <c r="AJ1" s="1" t="s">
        <v>34</v>
      </c>
      <c r="AK1" s="1" t="s">
        <v>29</v>
      </c>
      <c r="AL1" s="1" t="s">
        <v>56</v>
      </c>
      <c r="AM1" s="1" t="s">
        <v>57</v>
      </c>
      <c r="AN1" s="1" t="s">
        <v>58</v>
      </c>
      <c r="AO1" s="1" t="s">
        <v>59</v>
      </c>
      <c r="AP1" s="1" t="s">
        <v>139</v>
      </c>
      <c r="AQ1" s="1" t="s">
        <v>138</v>
      </c>
      <c r="AR1" s="1" t="s">
        <v>383</v>
      </c>
      <c r="AU1" s="1" t="s">
        <v>41</v>
      </c>
      <c r="AV1" s="1" t="s">
        <v>455</v>
      </c>
      <c r="AW1" s="1" t="s">
        <v>146</v>
      </c>
      <c r="AX1" s="1" t="s">
        <v>147</v>
      </c>
      <c r="AY1" s="1" t="s">
        <v>149</v>
      </c>
      <c r="AZ1" s="1" t="s">
        <v>441</v>
      </c>
    </row>
    <row r="2" spans="2:52" x14ac:dyDescent="0.25">
      <c r="B2" s="1" t="s">
        <v>15</v>
      </c>
      <c r="C2" s="4" t="s">
        <v>26</v>
      </c>
      <c r="D2" s="1">
        <v>1</v>
      </c>
      <c r="E2" s="1">
        <v>1</v>
      </c>
      <c r="F2" s="1" t="str">
        <f>lkupTeam[[#This Row],[Group_Code]]&amp;lkupTeam[[#This Row],[Group_Number]]</f>
        <v>A1</v>
      </c>
      <c r="G2" s="1">
        <f>INDEX(lkupEuroQualifier[],MATCH(lkupTeam[[#This Row],[Team]],lkupEuroQualifier[Team],0),MATCH("Rnk",lkupEuroQualifier[#Headers],0))</f>
        <v>14</v>
      </c>
      <c r="J2" s="1" t="s">
        <v>26</v>
      </c>
      <c r="K2" s="2">
        <v>1</v>
      </c>
      <c r="L2" s="3">
        <v>2</v>
      </c>
      <c r="M2" s="7">
        <v>44358</v>
      </c>
      <c r="N2" s="8">
        <v>0.83333333333333337</v>
      </c>
      <c r="O2" s="3">
        <v>1</v>
      </c>
      <c r="P2" s="2">
        <v>1</v>
      </c>
      <c r="Q2" s="2">
        <v>2</v>
      </c>
      <c r="R2" s="2" t="s">
        <v>442</v>
      </c>
      <c r="U2" s="1" t="s">
        <v>1</v>
      </c>
      <c r="V2" s="1" t="s">
        <v>152</v>
      </c>
      <c r="W2" s="10" t="s">
        <v>153</v>
      </c>
      <c r="X2" s="10" t="s">
        <v>468</v>
      </c>
      <c r="Y2" s="10" t="s">
        <v>480</v>
      </c>
      <c r="Z2" s="10" t="str">
        <f>lkupVenue[[#This Row],[Venue_Stadium]]&amp;", "&amp;lkupVenue[[#This Row],[Venue_City]]&amp;" ("&amp;lkupVenue[[#This Row],[Venue_Country]]&amp;")"</f>
        <v>Wembley Stadium, London (England)</v>
      </c>
      <c r="AA2" s="10" t="str">
        <f>lkupVenue[[#This Row],[Venue_Stadium]]&amp;" ("&amp;lkupVenue[[#This Row],[Country_Short]]&amp;")"</f>
        <v>Wembley Stadium (ENG)</v>
      </c>
      <c r="AB2" s="1">
        <v>1</v>
      </c>
      <c r="AE2" s="1">
        <v>1</v>
      </c>
      <c r="AF2" s="1" t="s">
        <v>28</v>
      </c>
      <c r="AG2" s="1" t="s">
        <v>20</v>
      </c>
      <c r="AH2" s="1">
        <v>8</v>
      </c>
      <c r="AI2" s="1">
        <v>8</v>
      </c>
      <c r="AJ2" s="1">
        <v>0</v>
      </c>
      <c r="AK2" s="1">
        <v>0</v>
      </c>
      <c r="AL2" s="1">
        <v>27</v>
      </c>
      <c r="AM2" s="1">
        <v>3</v>
      </c>
      <c r="AN2" s="1">
        <v>24</v>
      </c>
      <c r="AO2" s="1">
        <v>24</v>
      </c>
      <c r="AP2" s="1">
        <v>3.375</v>
      </c>
      <c r="AQ2" s="1">
        <v>0.375</v>
      </c>
      <c r="AR2" s="1">
        <f>MATCH(lkupEuroQualifier[[#This Row],[Team]],lkupTeam[Team],0)</f>
        <v>7</v>
      </c>
      <c r="AU2" s="1">
        <v>38</v>
      </c>
      <c r="AV2" s="1" t="s">
        <v>456</v>
      </c>
      <c r="AW2" s="6">
        <v>44253</v>
      </c>
      <c r="AX2" s="8">
        <v>0.70833333333333337</v>
      </c>
      <c r="AY2" s="1">
        <v>9</v>
      </c>
    </row>
    <row r="3" spans="2:52" x14ac:dyDescent="0.25">
      <c r="B3" s="1" t="s">
        <v>4</v>
      </c>
      <c r="C3" s="4" t="s">
        <v>26</v>
      </c>
      <c r="D3" s="1">
        <v>2</v>
      </c>
      <c r="E3" s="1">
        <v>2</v>
      </c>
      <c r="F3" s="1" t="str">
        <f>lkupTeam[[#This Row],[Group_Code]]&amp;lkupTeam[[#This Row],[Group_Number]]</f>
        <v>A2</v>
      </c>
      <c r="G3" s="1">
        <f>INDEX(lkupEuroQualifier[],MATCH(lkupTeam[[#This Row],[Team]],lkupEuroQualifier[Team],0),MATCH("Rnk",lkupEuroQualifier[#Headers],0))</f>
        <v>2</v>
      </c>
      <c r="J3" s="1" t="s">
        <v>26</v>
      </c>
      <c r="K3" s="2">
        <v>3</v>
      </c>
      <c r="L3" s="3">
        <v>4</v>
      </c>
      <c r="M3" s="7">
        <v>44359</v>
      </c>
      <c r="N3" s="8">
        <v>0.58333333333333337</v>
      </c>
      <c r="O3" s="3">
        <v>2</v>
      </c>
      <c r="P3" s="2">
        <v>2</v>
      </c>
      <c r="Q3" s="11">
        <v>4</v>
      </c>
      <c r="R3" s="11" t="s">
        <v>442</v>
      </c>
      <c r="U3" s="1" t="s">
        <v>4</v>
      </c>
      <c r="V3" s="1" t="s">
        <v>154</v>
      </c>
      <c r="W3" s="10" t="s">
        <v>155</v>
      </c>
      <c r="X3" s="10" t="s">
        <v>469</v>
      </c>
      <c r="Y3" s="10" t="s">
        <v>481</v>
      </c>
      <c r="Z3" s="10" t="str">
        <f>lkupVenue[[#This Row],[Venue_Stadium]]&amp;", "&amp;lkupVenue[[#This Row],[Venue_City]]&amp;" ("&amp;lkupVenue[[#This Row],[Venue_Country]]&amp;")"</f>
        <v>Stadio Olimpico, Rome (Italy)</v>
      </c>
      <c r="AA3" s="10" t="str">
        <f>lkupVenue[[#This Row],[Venue_Stadium]]&amp;" ("&amp;lkupVenue[[#This Row],[Country_Short]]&amp;")"</f>
        <v>Stadio Olimpico (ITA)</v>
      </c>
      <c r="AB3" s="1">
        <v>2</v>
      </c>
      <c r="AE3" s="1">
        <v>2</v>
      </c>
      <c r="AF3" s="1" t="s">
        <v>61</v>
      </c>
      <c r="AG3" s="1" t="s">
        <v>4</v>
      </c>
      <c r="AH3" s="1">
        <v>8</v>
      </c>
      <c r="AI3" s="1">
        <v>8</v>
      </c>
      <c r="AJ3" s="1">
        <v>0</v>
      </c>
      <c r="AK3" s="1">
        <v>0</v>
      </c>
      <c r="AL3" s="1">
        <v>26</v>
      </c>
      <c r="AM3" s="1">
        <v>4</v>
      </c>
      <c r="AN3" s="1">
        <v>22</v>
      </c>
      <c r="AO3" s="1">
        <v>24</v>
      </c>
      <c r="AP3" s="1">
        <v>3.25</v>
      </c>
      <c r="AQ3" s="1">
        <v>0.5</v>
      </c>
      <c r="AR3" s="1">
        <f>MATCH(lkupEuroQualifier[[#This Row],[Team]],lkupTeam[Team],0)</f>
        <v>2</v>
      </c>
      <c r="AU3" s="1">
        <v>37</v>
      </c>
      <c r="AV3" s="1" t="s">
        <v>456</v>
      </c>
      <c r="AW3" s="6">
        <v>44373</v>
      </c>
      <c r="AX3" s="8">
        <v>0.83333333333333337</v>
      </c>
      <c r="AY3" s="1">
        <v>1</v>
      </c>
    </row>
    <row r="4" spans="2:52" x14ac:dyDescent="0.25">
      <c r="B4" s="1" t="s">
        <v>23</v>
      </c>
      <c r="C4" s="4" t="s">
        <v>26</v>
      </c>
      <c r="D4" s="1">
        <v>3</v>
      </c>
      <c r="E4" s="1">
        <v>3</v>
      </c>
      <c r="F4" s="1" t="str">
        <f>lkupTeam[[#This Row],[Group_Code]]&amp;lkupTeam[[#This Row],[Group_Number]]</f>
        <v>A3</v>
      </c>
      <c r="G4" s="1">
        <f>INDEX(lkupEuroQualifier[],MATCH(lkupTeam[[#This Row],[Team]],lkupEuroQualifier[Team],0),MATCH("Rnk",lkupEuroQualifier[#Headers],0))</f>
        <v>19</v>
      </c>
      <c r="J4" s="1" t="s">
        <v>30</v>
      </c>
      <c r="K4" s="2">
        <v>1</v>
      </c>
      <c r="L4" s="3">
        <v>2</v>
      </c>
      <c r="M4" s="7">
        <v>44359</v>
      </c>
      <c r="N4" s="8">
        <v>0.70833333333333337</v>
      </c>
      <c r="O4" s="3">
        <v>3</v>
      </c>
      <c r="P4" s="2">
        <v>1</v>
      </c>
      <c r="Q4" s="11">
        <v>11</v>
      </c>
      <c r="R4" s="11" t="s">
        <v>442</v>
      </c>
      <c r="U4" s="1" t="s">
        <v>12</v>
      </c>
      <c r="V4" s="1" t="s">
        <v>156</v>
      </c>
      <c r="W4" s="10" t="s">
        <v>158</v>
      </c>
      <c r="X4" s="10" t="s">
        <v>470</v>
      </c>
      <c r="Y4" s="10" t="s">
        <v>482</v>
      </c>
      <c r="Z4" s="10" t="str">
        <f>lkupVenue[[#This Row],[Venue_Stadium]]&amp;", "&amp;lkupVenue[[#This Row],[Venue_City]]&amp;" ("&amp;lkupVenue[[#This Row],[Venue_Country]]&amp;")"</f>
        <v>Allianz Arena, Munich (Germany)</v>
      </c>
      <c r="AA4" s="10" t="str">
        <f>lkupVenue[[#This Row],[Venue_Stadium]]&amp;" ("&amp;lkupVenue[[#This Row],[Country_Short]]&amp;")"</f>
        <v>Allianz Arena (GER)</v>
      </c>
      <c r="AB4" s="1">
        <v>3</v>
      </c>
      <c r="AE4" s="1">
        <v>3</v>
      </c>
      <c r="AF4" s="1" t="s">
        <v>26</v>
      </c>
      <c r="AG4" s="1" t="s">
        <v>1</v>
      </c>
      <c r="AH4" s="1">
        <v>8</v>
      </c>
      <c r="AI4" s="1">
        <v>7</v>
      </c>
      <c r="AJ4" s="1">
        <v>0</v>
      </c>
      <c r="AK4" s="1">
        <v>1</v>
      </c>
      <c r="AL4" s="1">
        <v>37</v>
      </c>
      <c r="AM4" s="1">
        <v>6</v>
      </c>
      <c r="AN4" s="1">
        <v>31</v>
      </c>
      <c r="AO4" s="1">
        <v>21</v>
      </c>
      <c r="AP4" s="1">
        <v>4.625</v>
      </c>
      <c r="AQ4" s="1">
        <v>0.75</v>
      </c>
      <c r="AR4" s="1">
        <f>MATCH(lkupEuroQualifier[[#This Row],[Team]],lkupTeam[Team],0)</f>
        <v>13</v>
      </c>
      <c r="AU4" s="1">
        <v>40</v>
      </c>
      <c r="AV4" s="1" t="s">
        <v>456</v>
      </c>
      <c r="AW4" s="6">
        <v>44374</v>
      </c>
      <c r="AX4" s="8">
        <v>0.70833333333333337</v>
      </c>
      <c r="AY4" s="1">
        <v>6</v>
      </c>
    </row>
    <row r="5" spans="2:52" x14ac:dyDescent="0.25">
      <c r="B5" s="1" t="s">
        <v>17</v>
      </c>
      <c r="C5" s="4" t="s">
        <v>26</v>
      </c>
      <c r="D5" s="1">
        <v>4</v>
      </c>
      <c r="E5" s="1">
        <v>4</v>
      </c>
      <c r="F5" s="1" t="str">
        <f>lkupTeam[[#This Row],[Group_Code]]&amp;lkupTeam[[#This Row],[Group_Number]]</f>
        <v>A4</v>
      </c>
      <c r="G5" s="1">
        <f>INDEX(lkupEuroQualifier[],MATCH(lkupTeam[[#This Row],[Team]],lkupEuroQualifier[Team],0),MATCH("Rnk",lkupEuroQualifier[#Headers],0))</f>
        <v>9</v>
      </c>
      <c r="J5" s="1" t="s">
        <v>30</v>
      </c>
      <c r="K5" s="2">
        <v>3</v>
      </c>
      <c r="L5" s="3">
        <v>4</v>
      </c>
      <c r="M5" s="7">
        <v>44359</v>
      </c>
      <c r="N5" s="8">
        <v>0.83333333333333337</v>
      </c>
      <c r="O5" s="3">
        <v>4</v>
      </c>
      <c r="P5" s="2">
        <v>2</v>
      </c>
      <c r="Q5" s="2">
        <v>5</v>
      </c>
      <c r="R5" s="2" t="s">
        <v>461</v>
      </c>
      <c r="U5" s="1" t="s">
        <v>159</v>
      </c>
      <c r="V5" s="1" t="s">
        <v>160</v>
      </c>
      <c r="W5" s="10" t="s">
        <v>161</v>
      </c>
      <c r="X5" s="10" t="s">
        <v>471</v>
      </c>
      <c r="Y5" s="10" t="s">
        <v>483</v>
      </c>
      <c r="Z5" s="10" t="str">
        <f>lkupVenue[[#This Row],[Venue_Stadium]]&amp;", "&amp;lkupVenue[[#This Row],[Venue_City]]&amp;" ("&amp;lkupVenue[[#This Row],[Venue_Country]]&amp;")"</f>
        <v>Olympic Stadium, Baku (Azerbaijan)</v>
      </c>
      <c r="AA5" s="10" t="str">
        <f>lkupVenue[[#This Row],[Venue_Stadium]]&amp;" ("&amp;lkupVenue[[#This Row],[Country_Short]]&amp;")"</f>
        <v>Olympic Stadium (AZE)</v>
      </c>
      <c r="AB5" s="1">
        <v>4</v>
      </c>
      <c r="AE5" s="1">
        <v>4</v>
      </c>
      <c r="AF5" s="1" t="s">
        <v>33</v>
      </c>
      <c r="AG5" s="1" t="s">
        <v>12</v>
      </c>
      <c r="AH5" s="1">
        <v>8</v>
      </c>
      <c r="AI5" s="1">
        <v>7</v>
      </c>
      <c r="AJ5" s="1">
        <v>0</v>
      </c>
      <c r="AK5" s="1">
        <v>1</v>
      </c>
      <c r="AL5" s="1">
        <v>30</v>
      </c>
      <c r="AM5" s="1">
        <v>7</v>
      </c>
      <c r="AN5" s="1">
        <v>23</v>
      </c>
      <c r="AO5" s="1">
        <v>21</v>
      </c>
      <c r="AP5" s="1">
        <v>3.75</v>
      </c>
      <c r="AQ5" s="1">
        <v>0.875</v>
      </c>
      <c r="AR5" s="1">
        <f>MATCH(lkupEuroQualifier[[#This Row],[Team]],lkupTeam[Team],0)</f>
        <v>24</v>
      </c>
      <c r="AU5" s="1">
        <v>39</v>
      </c>
      <c r="AV5" s="1" t="s">
        <v>456</v>
      </c>
      <c r="AW5" s="6">
        <v>44374</v>
      </c>
      <c r="AX5" s="8">
        <v>0.83333333333333337</v>
      </c>
      <c r="AY5" s="1">
        <v>7</v>
      </c>
    </row>
    <row r="6" spans="2:52" x14ac:dyDescent="0.25">
      <c r="B6" s="1" t="s">
        <v>14</v>
      </c>
      <c r="C6" s="4" t="s">
        <v>30</v>
      </c>
      <c r="D6" s="1">
        <v>1</v>
      </c>
      <c r="E6" s="1">
        <v>5</v>
      </c>
      <c r="F6" s="1" t="str">
        <f>lkupTeam[[#This Row],[Group_Code]]&amp;lkupTeam[[#This Row],[Group_Number]]</f>
        <v>B1</v>
      </c>
      <c r="G6" s="1">
        <f>INDEX(lkupEuroQualifier[],MATCH(lkupTeam[[#This Row],[Team]],lkupEuroQualifier[Team],0),MATCH("Rnk",lkupEuroQualifier[#Headers],0))</f>
        <v>15</v>
      </c>
      <c r="J6" s="1" t="s">
        <v>34</v>
      </c>
      <c r="K6" s="2">
        <v>1</v>
      </c>
      <c r="L6" s="3">
        <v>2</v>
      </c>
      <c r="M6" s="7">
        <v>44360</v>
      </c>
      <c r="N6" s="8">
        <v>0.58333333333333337</v>
      </c>
      <c r="O6" s="3">
        <v>7</v>
      </c>
      <c r="P6" s="2">
        <v>1</v>
      </c>
      <c r="Q6" s="11">
        <v>1</v>
      </c>
      <c r="R6" s="11" t="s">
        <v>442</v>
      </c>
      <c r="U6" s="1" t="s">
        <v>5</v>
      </c>
      <c r="V6" s="1" t="s">
        <v>190</v>
      </c>
      <c r="W6" s="10" t="s">
        <v>162</v>
      </c>
      <c r="X6" s="10" t="s">
        <v>472</v>
      </c>
      <c r="Y6" s="10" t="s">
        <v>484</v>
      </c>
      <c r="Z6" s="10" t="str">
        <f>lkupVenue[[#This Row],[Venue_Stadium]]&amp;", "&amp;lkupVenue[[#This Row],[Venue_City]]&amp;" ("&amp;lkupVenue[[#This Row],[Venue_Country]]&amp;")"</f>
        <v>Krestovsky Stadium, Saint Petersburg (Russia)</v>
      </c>
      <c r="AA6" s="10" t="str">
        <f>lkupVenue[[#This Row],[Venue_Stadium]]&amp;" ("&amp;lkupVenue[[#This Row],[Country_Short]]&amp;")"</f>
        <v>Krestovsky Stadium (RUS)</v>
      </c>
      <c r="AB6" s="1">
        <v>5</v>
      </c>
      <c r="AE6" s="1">
        <v>5</v>
      </c>
      <c r="AF6" s="1" t="s">
        <v>32</v>
      </c>
      <c r="AG6" s="1" t="s">
        <v>2</v>
      </c>
      <c r="AH6" s="1">
        <v>8</v>
      </c>
      <c r="AI6" s="1">
        <v>6</v>
      </c>
      <c r="AJ6" s="1">
        <v>2</v>
      </c>
      <c r="AK6" s="1">
        <v>0</v>
      </c>
      <c r="AL6" s="1">
        <v>22</v>
      </c>
      <c r="AM6" s="1">
        <v>5</v>
      </c>
      <c r="AN6" s="1">
        <v>17</v>
      </c>
      <c r="AO6" s="1">
        <v>20</v>
      </c>
      <c r="AP6" s="1">
        <v>2.75</v>
      </c>
      <c r="AQ6" s="1">
        <v>0.625</v>
      </c>
      <c r="AR6" s="1">
        <f>MATCH(lkupEuroQualifier[[#This Row],[Team]],lkupTeam[Team],0)</f>
        <v>19</v>
      </c>
      <c r="AU6" s="1">
        <v>42</v>
      </c>
      <c r="AV6" s="1" t="s">
        <v>456</v>
      </c>
      <c r="AW6" s="6">
        <v>44375</v>
      </c>
      <c r="AX6" s="8">
        <v>0.70833333333333337</v>
      </c>
      <c r="AY6" s="1">
        <v>11</v>
      </c>
    </row>
    <row r="7" spans="2:52" x14ac:dyDescent="0.25">
      <c r="B7" s="1" t="s">
        <v>11</v>
      </c>
      <c r="C7" s="4" t="s">
        <v>30</v>
      </c>
      <c r="D7" s="1">
        <v>2</v>
      </c>
      <c r="E7" s="1">
        <v>6</v>
      </c>
      <c r="F7" s="1" t="str">
        <f>lkupTeam[[#This Row],[Group_Code]]&amp;lkupTeam[[#This Row],[Group_Number]]</f>
        <v>B2</v>
      </c>
      <c r="G7" s="1">
        <f>INDEX(lkupEuroQualifier[],MATCH(lkupTeam[[#This Row],[Team]],lkupEuroQualifier[Team],0),MATCH("Rnk",lkupEuroQualifier[#Headers],0))</f>
        <v>20</v>
      </c>
      <c r="J7" s="1" t="s">
        <v>33</v>
      </c>
      <c r="K7" s="2">
        <v>1</v>
      </c>
      <c r="L7" s="3">
        <v>2</v>
      </c>
      <c r="M7" s="7">
        <v>44360</v>
      </c>
      <c r="N7" s="8">
        <v>0.70833333333333337</v>
      </c>
      <c r="O7" s="3">
        <v>6</v>
      </c>
      <c r="P7" s="2">
        <v>1</v>
      </c>
      <c r="Q7" s="11">
        <v>8</v>
      </c>
      <c r="R7" s="2" t="s">
        <v>461</v>
      </c>
      <c r="U7" s="1" t="s">
        <v>163</v>
      </c>
      <c r="V7" s="1" t="s">
        <v>164</v>
      </c>
      <c r="W7" s="10" t="s">
        <v>165</v>
      </c>
      <c r="X7" s="10" t="s">
        <v>473</v>
      </c>
      <c r="Y7" s="10" t="s">
        <v>485</v>
      </c>
      <c r="Z7" s="10" t="str">
        <f>lkupVenue[[#This Row],[Venue_Stadium]]&amp;", "&amp;lkupVenue[[#This Row],[Venue_City]]&amp;" ("&amp;lkupVenue[[#This Row],[Venue_Country]]&amp;")"</f>
        <v>Puskas Arena, Budapest (Hungry)</v>
      </c>
      <c r="AA7" s="10" t="str">
        <f>lkupVenue[[#This Row],[Venue_Stadium]]&amp;" ("&amp;lkupVenue[[#This Row],[Country_Short]]&amp;")"</f>
        <v>Puskas Arena (HUN)</v>
      </c>
      <c r="AB7" s="1">
        <v>6</v>
      </c>
      <c r="AE7" s="1">
        <v>6</v>
      </c>
      <c r="AF7" s="1" t="s">
        <v>30</v>
      </c>
      <c r="AG7" s="1" t="s">
        <v>18</v>
      </c>
      <c r="AH7" s="1">
        <v>8</v>
      </c>
      <c r="AI7" s="1">
        <v>6</v>
      </c>
      <c r="AJ7" s="1">
        <v>2</v>
      </c>
      <c r="AK7" s="1">
        <v>0</v>
      </c>
      <c r="AL7" s="1">
        <v>17</v>
      </c>
      <c r="AM7" s="1">
        <v>4</v>
      </c>
      <c r="AN7" s="1">
        <v>13</v>
      </c>
      <c r="AO7" s="1">
        <v>20</v>
      </c>
      <c r="AP7" s="1">
        <v>2.125</v>
      </c>
      <c r="AQ7" s="1">
        <v>0.5</v>
      </c>
      <c r="AR7" s="1">
        <f>MATCH(lkupEuroQualifier[[#This Row],[Team]],lkupTeam[Team],0)</f>
        <v>12</v>
      </c>
      <c r="AU7" s="1">
        <v>41</v>
      </c>
      <c r="AV7" s="1" t="s">
        <v>456</v>
      </c>
      <c r="AW7" s="6">
        <v>44375</v>
      </c>
      <c r="AX7" s="8">
        <v>0.83333333333333337</v>
      </c>
      <c r="AY7" s="1">
        <v>8</v>
      </c>
    </row>
    <row r="8" spans="2:52" x14ac:dyDescent="0.25">
      <c r="B8" s="1" t="s">
        <v>20</v>
      </c>
      <c r="C8" s="4" t="s">
        <v>30</v>
      </c>
      <c r="D8" s="1">
        <v>3</v>
      </c>
      <c r="E8" s="1">
        <v>7</v>
      </c>
      <c r="F8" s="1" t="str">
        <f>lkupTeam[[#This Row],[Group_Code]]&amp;lkupTeam[[#This Row],[Group_Number]]</f>
        <v>B3</v>
      </c>
      <c r="G8" s="1">
        <f>INDEX(lkupEuroQualifier[],MATCH(lkupTeam[[#This Row],[Team]],lkupEuroQualifier[Team],0),MATCH("Rnk",lkupEuroQualifier[#Headers],0))</f>
        <v>1</v>
      </c>
      <c r="J8" s="1" t="s">
        <v>33</v>
      </c>
      <c r="K8" s="2">
        <v>3</v>
      </c>
      <c r="L8" s="3">
        <v>4</v>
      </c>
      <c r="M8" s="7">
        <v>44360</v>
      </c>
      <c r="N8" s="8">
        <v>0.83333333333333337</v>
      </c>
      <c r="O8" s="3">
        <v>5</v>
      </c>
      <c r="P8" s="2">
        <v>2</v>
      </c>
      <c r="Q8" s="2">
        <v>9</v>
      </c>
      <c r="R8" s="2" t="s">
        <v>461</v>
      </c>
      <c r="U8" s="1" t="s">
        <v>2</v>
      </c>
      <c r="V8" s="1" t="s">
        <v>166</v>
      </c>
      <c r="W8" s="10" t="s">
        <v>167</v>
      </c>
      <c r="X8" s="10" t="s">
        <v>474</v>
      </c>
      <c r="Y8" s="10" t="s">
        <v>486</v>
      </c>
      <c r="Z8" s="10" t="str">
        <f>lkupVenue[[#This Row],[Venue_Stadium]]&amp;", "&amp;lkupVenue[[#This Row],[Venue_City]]&amp;" ("&amp;lkupVenue[[#This Row],[Venue_Country]]&amp;")"</f>
        <v>La Cartuja, Seville (Spain)</v>
      </c>
      <c r="AA8" s="10" t="str">
        <f>lkupVenue[[#This Row],[Venue_Stadium]]&amp;" ("&amp;lkupVenue[[#This Row],[Country_Short]]&amp;")"</f>
        <v>La Cartuja (SPA)</v>
      </c>
      <c r="AB8" s="1">
        <v>7</v>
      </c>
      <c r="AE8" s="1">
        <v>7</v>
      </c>
      <c r="AF8" s="1" t="s">
        <v>31</v>
      </c>
      <c r="AG8" s="1" t="s">
        <v>22</v>
      </c>
      <c r="AH8" s="1">
        <v>8</v>
      </c>
      <c r="AI8" s="1">
        <v>6</v>
      </c>
      <c r="AJ8" s="1">
        <v>1</v>
      </c>
      <c r="AK8" s="1">
        <v>1</v>
      </c>
      <c r="AL8" s="1">
        <v>19</v>
      </c>
      <c r="AM8" s="1">
        <v>4</v>
      </c>
      <c r="AN8" s="1">
        <v>15</v>
      </c>
      <c r="AO8" s="1">
        <v>19</v>
      </c>
      <c r="AP8" s="1">
        <v>2.375</v>
      </c>
      <c r="AQ8" s="1">
        <v>0.5</v>
      </c>
      <c r="AR8" s="1">
        <f>MATCH(lkupEuroQualifier[[#This Row],[Team]],lkupTeam[Team],0)</f>
        <v>23</v>
      </c>
      <c r="AU8" s="1">
        <v>44</v>
      </c>
      <c r="AV8" s="1" t="s">
        <v>456</v>
      </c>
      <c r="AW8" s="6">
        <v>44376</v>
      </c>
      <c r="AX8" s="8">
        <v>0.70833333333333337</v>
      </c>
      <c r="AY8" s="1">
        <v>1</v>
      </c>
    </row>
    <row r="9" spans="2:52" x14ac:dyDescent="0.25">
      <c r="B9" s="1" t="s">
        <v>5</v>
      </c>
      <c r="C9" s="4" t="s">
        <v>30</v>
      </c>
      <c r="D9" s="1">
        <v>4</v>
      </c>
      <c r="E9" s="1">
        <v>8</v>
      </c>
      <c r="F9" s="1" t="str">
        <f>lkupTeam[[#This Row],[Group_Code]]&amp;lkupTeam[[#This Row],[Group_Number]]</f>
        <v>B4</v>
      </c>
      <c r="G9" s="1">
        <f>INDEX(lkupEuroQualifier[],MATCH(lkupTeam[[#This Row],[Team]],lkupEuroQualifier[Team],0),MATCH("Rnk",lkupEuroQualifier[#Headers],0))</f>
        <v>12</v>
      </c>
      <c r="J9" s="1" t="s">
        <v>34</v>
      </c>
      <c r="K9" s="2">
        <v>3</v>
      </c>
      <c r="L9" s="3">
        <v>4</v>
      </c>
      <c r="M9" s="7">
        <v>44361</v>
      </c>
      <c r="N9" s="8">
        <v>0.58333333333333337</v>
      </c>
      <c r="O9" s="3">
        <v>8</v>
      </c>
      <c r="P9" s="2">
        <v>2</v>
      </c>
      <c r="Q9" s="11">
        <v>10</v>
      </c>
      <c r="R9" s="11" t="s">
        <v>442</v>
      </c>
      <c r="U9" s="1" t="s">
        <v>168</v>
      </c>
      <c r="V9" s="1" t="s">
        <v>169</v>
      </c>
      <c r="W9" s="10" t="s">
        <v>170</v>
      </c>
      <c r="X9" s="10" t="s">
        <v>475</v>
      </c>
      <c r="Y9" s="10" t="s">
        <v>487</v>
      </c>
      <c r="Z9" s="10" t="str">
        <f>lkupVenue[[#This Row],[Venue_Stadium]]&amp;", "&amp;lkupVenue[[#This Row],[Venue_City]]&amp;" ("&amp;lkupVenue[[#This Row],[Venue_Country]]&amp;")"</f>
        <v>Arean Nationala, Bucharest (Romania)</v>
      </c>
      <c r="AA9" s="10" t="str">
        <f>lkupVenue[[#This Row],[Venue_Stadium]]&amp;" ("&amp;lkupVenue[[#This Row],[Country_Short]]&amp;")"</f>
        <v>Arean Nationala (ROM)</v>
      </c>
      <c r="AB9" s="1">
        <v>8</v>
      </c>
      <c r="AE9" s="1">
        <v>8</v>
      </c>
      <c r="AF9" s="1" t="s">
        <v>68</v>
      </c>
      <c r="AG9" s="1" t="s">
        <v>19</v>
      </c>
      <c r="AH9" s="1">
        <v>8</v>
      </c>
      <c r="AI9" s="1">
        <v>6</v>
      </c>
      <c r="AJ9" s="1">
        <v>1</v>
      </c>
      <c r="AK9" s="1">
        <v>1</v>
      </c>
      <c r="AL9" s="1">
        <v>13</v>
      </c>
      <c r="AM9" s="1">
        <v>5</v>
      </c>
      <c r="AN9" s="1">
        <v>8</v>
      </c>
      <c r="AO9" s="1">
        <v>19</v>
      </c>
      <c r="AP9" s="1">
        <v>1.625</v>
      </c>
      <c r="AQ9" s="1">
        <v>0.625</v>
      </c>
      <c r="AR9" s="1">
        <f>MATCH(lkupEuroQualifier[[#This Row],[Team]],lkupTeam[Team],0)</f>
        <v>17</v>
      </c>
      <c r="AU9" s="1">
        <v>43</v>
      </c>
      <c r="AV9" s="1" t="s">
        <v>456</v>
      </c>
      <c r="AW9" s="6">
        <v>44376</v>
      </c>
      <c r="AX9" s="8">
        <v>0.83333333333333337</v>
      </c>
      <c r="AY9" s="1">
        <v>10</v>
      </c>
    </row>
    <row r="10" spans="2:52" x14ac:dyDescent="0.25">
      <c r="B10" s="1" t="s">
        <v>9</v>
      </c>
      <c r="C10" s="4" t="s">
        <v>33</v>
      </c>
      <c r="D10" s="1">
        <v>1</v>
      </c>
      <c r="E10" s="1">
        <v>9</v>
      </c>
      <c r="F10" s="1" t="str">
        <f>lkupTeam[[#This Row],[Group_Code]]&amp;lkupTeam[[#This Row],[Group_Number]]</f>
        <v>C1</v>
      </c>
      <c r="G10" s="1">
        <f>INDEX(lkupEuroQualifier[],MATCH(lkupTeam[[#This Row],[Team]],lkupEuroQualifier[Team],0),MATCH("Rnk",lkupEuroQualifier[#Headers],0))</f>
        <v>16</v>
      </c>
      <c r="J10" s="1" t="s">
        <v>27</v>
      </c>
      <c r="K10" s="2">
        <v>1</v>
      </c>
      <c r="L10" s="3">
        <v>2</v>
      </c>
      <c r="M10" s="7">
        <v>44361</v>
      </c>
      <c r="N10" s="8">
        <v>0.70833333333333337</v>
      </c>
      <c r="O10" s="3">
        <v>10</v>
      </c>
      <c r="P10" s="2">
        <v>1</v>
      </c>
      <c r="Q10" s="11">
        <v>5</v>
      </c>
      <c r="R10" s="2" t="s">
        <v>461</v>
      </c>
      <c r="U10" s="1" t="s">
        <v>8</v>
      </c>
      <c r="V10" s="1" t="s">
        <v>171</v>
      </c>
      <c r="W10" s="10" t="s">
        <v>172</v>
      </c>
      <c r="X10" s="10" t="s">
        <v>476</v>
      </c>
      <c r="Y10" s="10" t="s">
        <v>488</v>
      </c>
      <c r="Z10" s="10" t="str">
        <f>lkupVenue[[#This Row],[Venue_Stadium]]&amp;", "&amp;lkupVenue[[#This Row],[Venue_City]]&amp;" ("&amp;lkupVenue[[#This Row],[Venue_Country]]&amp;")"</f>
        <v>Johan Cruyff Arena, Amsterdam (Netherlands)</v>
      </c>
      <c r="AA10" s="10" t="str">
        <f>lkupVenue[[#This Row],[Venue_Stadium]]&amp;" ("&amp;lkupVenue[[#This Row],[Country_Short]]&amp;")"</f>
        <v>Johan Cruyff Arena (NET)</v>
      </c>
      <c r="AB10" s="1">
        <v>9</v>
      </c>
      <c r="AE10" s="1">
        <v>9</v>
      </c>
      <c r="AF10" s="1" t="s">
        <v>34</v>
      </c>
      <c r="AG10" s="1" t="s">
        <v>17</v>
      </c>
      <c r="AH10" s="1">
        <v>8</v>
      </c>
      <c r="AI10" s="1">
        <v>5</v>
      </c>
      <c r="AJ10" s="1">
        <v>2</v>
      </c>
      <c r="AK10" s="1">
        <v>1</v>
      </c>
      <c r="AL10" s="1">
        <v>19</v>
      </c>
      <c r="AM10" s="1">
        <v>6</v>
      </c>
      <c r="AN10" s="1">
        <v>13</v>
      </c>
      <c r="AO10" s="1">
        <v>17</v>
      </c>
      <c r="AP10" s="1">
        <v>2.375</v>
      </c>
      <c r="AQ10" s="1">
        <v>0.75</v>
      </c>
      <c r="AR10" s="1">
        <f>MATCH(lkupEuroQualifier[[#This Row],[Team]],lkupTeam[Team],0)</f>
        <v>4</v>
      </c>
      <c r="AU10" s="1">
        <v>45</v>
      </c>
      <c r="AV10" s="1" t="s">
        <v>457</v>
      </c>
      <c r="AW10" s="6">
        <v>44379</v>
      </c>
      <c r="AX10" s="8">
        <v>0.70833333333333337</v>
      </c>
      <c r="AY10" s="1">
        <v>5</v>
      </c>
    </row>
    <row r="11" spans="2:52" x14ac:dyDescent="0.25">
      <c r="B11" s="1" t="s">
        <v>6</v>
      </c>
      <c r="C11" s="4" t="s">
        <v>33</v>
      </c>
      <c r="D11" s="1">
        <v>2</v>
      </c>
      <c r="E11" s="1">
        <v>10</v>
      </c>
      <c r="F11" s="1" t="str">
        <f>lkupTeam[[#This Row],[Group_Code]]&amp;lkupTeam[[#This Row],[Group_Number]]</f>
        <v>C2</v>
      </c>
      <c r="G11" s="1">
        <f>INDEX(lkupEuroQualifier[],MATCH(lkupTeam[[#This Row],[Team]],lkupEuroQualifier[Team],0),MATCH("Rnk",lkupEuroQualifier[#Headers],0))</f>
        <v>30</v>
      </c>
      <c r="J11" s="1" t="s">
        <v>27</v>
      </c>
      <c r="K11" s="2">
        <v>3</v>
      </c>
      <c r="L11" s="3">
        <v>4</v>
      </c>
      <c r="M11" s="7">
        <v>44361</v>
      </c>
      <c r="N11" s="8">
        <v>0.83333333333333337</v>
      </c>
      <c r="O11" s="3">
        <v>9</v>
      </c>
      <c r="P11" s="2">
        <v>2</v>
      </c>
      <c r="Q11" s="2">
        <v>7</v>
      </c>
      <c r="R11" s="2" t="s">
        <v>442</v>
      </c>
      <c r="U11" s="1" t="s">
        <v>3</v>
      </c>
      <c r="V11" s="1" t="s">
        <v>173</v>
      </c>
      <c r="W11" s="10" t="s">
        <v>174</v>
      </c>
      <c r="X11" s="10" t="s">
        <v>477</v>
      </c>
      <c r="Y11" s="10" t="s">
        <v>489</v>
      </c>
      <c r="Z11" s="10" t="str">
        <f>lkupVenue[[#This Row],[Venue_Stadium]]&amp;", "&amp;lkupVenue[[#This Row],[Venue_City]]&amp;" ("&amp;lkupVenue[[#This Row],[Venue_Country]]&amp;")"</f>
        <v>Hampden Park, Glasgow (Scotland)</v>
      </c>
      <c r="AA11" s="10" t="str">
        <f>lkupVenue[[#This Row],[Venue_Stadium]]&amp;" ("&amp;lkupVenue[[#This Row],[Country_Short]]&amp;")"</f>
        <v>Hampden Park (SCO)</v>
      </c>
      <c r="AB11" s="1">
        <v>10</v>
      </c>
      <c r="AE11" s="1">
        <v>10</v>
      </c>
      <c r="AF11" s="1" t="s">
        <v>27</v>
      </c>
      <c r="AG11" s="1" t="s">
        <v>13</v>
      </c>
      <c r="AH11" s="1">
        <v>8</v>
      </c>
      <c r="AI11" s="1">
        <v>5</v>
      </c>
      <c r="AJ11" s="1">
        <v>2</v>
      </c>
      <c r="AK11" s="1">
        <v>1</v>
      </c>
      <c r="AL11" s="1">
        <v>17</v>
      </c>
      <c r="AM11" s="1">
        <v>7</v>
      </c>
      <c r="AN11" s="1">
        <v>10</v>
      </c>
      <c r="AO11" s="1">
        <v>17</v>
      </c>
      <c r="AP11" s="1">
        <v>2.125</v>
      </c>
      <c r="AQ11" s="1">
        <v>0.875</v>
      </c>
      <c r="AR11" s="1">
        <f>MATCH(lkupEuroQualifier[[#This Row],[Team]],lkupTeam[Team],0)</f>
        <v>14</v>
      </c>
      <c r="AU11" s="1">
        <v>46</v>
      </c>
      <c r="AV11" s="1" t="s">
        <v>457</v>
      </c>
      <c r="AW11" s="6">
        <v>44379</v>
      </c>
      <c r="AX11" s="8">
        <v>0.83333333333333337</v>
      </c>
      <c r="AY11" s="1">
        <v>3</v>
      </c>
    </row>
    <row r="12" spans="2:52" x14ac:dyDescent="0.25">
      <c r="B12" s="1" t="s">
        <v>8</v>
      </c>
      <c r="C12" s="4" t="s">
        <v>33</v>
      </c>
      <c r="D12" s="1">
        <v>3</v>
      </c>
      <c r="E12" s="1">
        <v>11</v>
      </c>
      <c r="F12" s="1" t="str">
        <f>lkupTeam[[#This Row],[Group_Code]]&amp;lkupTeam[[#This Row],[Group_Number]]</f>
        <v>C3</v>
      </c>
      <c r="G12" s="1">
        <f>INDEX(lkupEuroQualifier[],MATCH(lkupTeam[[#This Row],[Team]],lkupEuroQualifier[Team],0),MATCH("Rnk",lkupEuroQualifier[#Headers],0))</f>
        <v>11</v>
      </c>
      <c r="J12" s="1" t="s">
        <v>32</v>
      </c>
      <c r="K12" s="2">
        <v>1</v>
      </c>
      <c r="L12" s="3">
        <v>2</v>
      </c>
      <c r="M12" s="7">
        <v>44362</v>
      </c>
      <c r="N12" s="8">
        <v>0.70833333333333337</v>
      </c>
      <c r="O12" s="3">
        <v>11</v>
      </c>
      <c r="P12" s="2">
        <v>1</v>
      </c>
      <c r="Q12" s="2">
        <v>6</v>
      </c>
      <c r="R12" s="2" t="s">
        <v>461</v>
      </c>
      <c r="U12" s="1" t="s">
        <v>14</v>
      </c>
      <c r="V12" s="1" t="s">
        <v>175</v>
      </c>
      <c r="W12" s="10" t="s">
        <v>176</v>
      </c>
      <c r="X12" s="10" t="s">
        <v>478</v>
      </c>
      <c r="Y12" s="10" t="s">
        <v>490</v>
      </c>
      <c r="Z12" s="10" t="str">
        <f>lkupVenue[[#This Row],[Venue_Stadium]]&amp;", "&amp;lkupVenue[[#This Row],[Venue_City]]&amp;" ("&amp;lkupVenue[[#This Row],[Venue_Country]]&amp;")"</f>
        <v>Parken Stadium, Copenhagen (Denmark)</v>
      </c>
      <c r="AA12" s="10" t="str">
        <f>lkupVenue[[#This Row],[Venue_Stadium]]&amp;" ("&amp;lkupVenue[[#This Row],[Country_Short]]&amp;")"</f>
        <v>Parken Stadium (DEN)</v>
      </c>
      <c r="AB12" s="1">
        <v>11</v>
      </c>
      <c r="AE12" s="1">
        <v>11</v>
      </c>
      <c r="AF12" s="1" t="s">
        <v>33</v>
      </c>
      <c r="AG12" s="1" t="s">
        <v>8</v>
      </c>
      <c r="AH12" s="1">
        <v>8</v>
      </c>
      <c r="AI12" s="1">
        <v>6</v>
      </c>
      <c r="AJ12" s="1">
        <v>1</v>
      </c>
      <c r="AK12" s="1">
        <v>1</v>
      </c>
      <c r="AL12" s="1">
        <v>24</v>
      </c>
      <c r="AM12" s="1">
        <v>7</v>
      </c>
      <c r="AN12" s="1">
        <v>17</v>
      </c>
      <c r="AO12" s="1">
        <v>19</v>
      </c>
      <c r="AP12" s="1">
        <v>3</v>
      </c>
      <c r="AQ12" s="1">
        <v>0.875</v>
      </c>
      <c r="AR12" s="1">
        <f>MATCH(lkupEuroQualifier[[#This Row],[Team]],lkupTeam[Team],0)</f>
        <v>11</v>
      </c>
      <c r="AU12" s="1">
        <v>47</v>
      </c>
      <c r="AV12" s="1" t="s">
        <v>457</v>
      </c>
      <c r="AW12" s="6">
        <v>44380</v>
      </c>
      <c r="AX12" s="8">
        <v>0.70833333333333337</v>
      </c>
      <c r="AY12" s="1">
        <v>4</v>
      </c>
    </row>
    <row r="13" spans="2:52" x14ac:dyDescent="0.25">
      <c r="B13" s="1" t="s">
        <v>18</v>
      </c>
      <c r="C13" s="4" t="s">
        <v>33</v>
      </c>
      <c r="D13" s="1">
        <v>4</v>
      </c>
      <c r="E13" s="1">
        <v>12</v>
      </c>
      <c r="F13" s="1" t="str">
        <f>lkupTeam[[#This Row],[Group_Code]]&amp;lkupTeam[[#This Row],[Group_Number]]</f>
        <v>C4</v>
      </c>
      <c r="G13" s="1">
        <f>INDEX(lkupEuroQualifier[],MATCH(lkupTeam[[#This Row],[Team]],lkupEuroQualifier[Team],0),MATCH("Rnk",lkupEuroQualifier[#Headers],0))</f>
        <v>6</v>
      </c>
      <c r="J13" s="1" t="s">
        <v>32</v>
      </c>
      <c r="K13" s="2">
        <v>3</v>
      </c>
      <c r="L13" s="3">
        <v>4</v>
      </c>
      <c r="M13" s="7">
        <v>44362</v>
      </c>
      <c r="N13" s="8">
        <v>0.83333333333333337</v>
      </c>
      <c r="O13" s="3">
        <v>12</v>
      </c>
      <c r="P13" s="2">
        <v>2</v>
      </c>
      <c r="Q13" s="2">
        <v>3</v>
      </c>
      <c r="R13" s="2" t="s">
        <v>461</v>
      </c>
      <c r="W13" s="10"/>
      <c r="X13" s="10"/>
      <c r="Y13" s="10"/>
      <c r="Z13" s="10"/>
      <c r="AA13" s="10"/>
      <c r="AE13" s="1">
        <v>12</v>
      </c>
      <c r="AF13" s="1" t="s">
        <v>28</v>
      </c>
      <c r="AG13" s="1" t="s">
        <v>5</v>
      </c>
      <c r="AH13" s="1">
        <v>8</v>
      </c>
      <c r="AI13" s="1">
        <v>6</v>
      </c>
      <c r="AJ13" s="1">
        <v>0</v>
      </c>
      <c r="AK13" s="1">
        <v>2</v>
      </c>
      <c r="AL13" s="1">
        <v>19</v>
      </c>
      <c r="AM13" s="1">
        <v>8</v>
      </c>
      <c r="AN13" s="1">
        <v>11</v>
      </c>
      <c r="AO13" s="1">
        <v>18</v>
      </c>
      <c r="AP13" s="1">
        <v>2.375</v>
      </c>
      <c r="AQ13" s="1">
        <v>1</v>
      </c>
      <c r="AR13" s="1">
        <f>MATCH(lkupEuroQualifier[[#This Row],[Team]],lkupTeam[Team],0)</f>
        <v>8</v>
      </c>
      <c r="AU13" s="1">
        <v>48</v>
      </c>
      <c r="AV13" s="1" t="s">
        <v>457</v>
      </c>
      <c r="AW13" s="6">
        <v>44380</v>
      </c>
      <c r="AX13" s="8">
        <v>0.83333333333333337</v>
      </c>
      <c r="AY13" s="1">
        <v>2</v>
      </c>
    </row>
    <row r="14" spans="2:52" x14ac:dyDescent="0.25">
      <c r="B14" s="1" t="s">
        <v>1</v>
      </c>
      <c r="C14" s="4" t="s">
        <v>34</v>
      </c>
      <c r="D14" s="1">
        <v>1</v>
      </c>
      <c r="E14" s="1">
        <v>13</v>
      </c>
      <c r="F14" s="1" t="str">
        <f>lkupTeam[[#This Row],[Group_Code]]&amp;lkupTeam[[#This Row],[Group_Number]]</f>
        <v>D1</v>
      </c>
      <c r="G14" s="1">
        <f>INDEX(lkupEuroQualifier[],MATCH(lkupTeam[[#This Row],[Team]],lkupEuroQualifier[Team],0),MATCH("Rnk",lkupEuroQualifier[#Headers],0))</f>
        <v>3</v>
      </c>
      <c r="J14" s="1" t="s">
        <v>30</v>
      </c>
      <c r="K14" s="2">
        <v>2</v>
      </c>
      <c r="L14" s="3">
        <v>4</v>
      </c>
      <c r="M14" s="7">
        <v>44363</v>
      </c>
      <c r="N14" s="8">
        <v>0.58333333333333337</v>
      </c>
      <c r="O14" s="3">
        <v>15</v>
      </c>
      <c r="P14" s="2">
        <v>3</v>
      </c>
      <c r="Q14" s="11">
        <v>5</v>
      </c>
      <c r="R14" s="11" t="s">
        <v>442</v>
      </c>
      <c r="W14" s="10"/>
      <c r="X14" s="10"/>
      <c r="Y14" s="10"/>
      <c r="Z14" s="10"/>
      <c r="AA14" s="10"/>
      <c r="AE14" s="1">
        <v>13</v>
      </c>
      <c r="AF14" s="1" t="s">
        <v>30</v>
      </c>
      <c r="AG14" s="1" t="s">
        <v>7</v>
      </c>
      <c r="AH14" s="1">
        <v>8</v>
      </c>
      <c r="AI14" s="1">
        <v>5</v>
      </c>
      <c r="AJ14" s="1">
        <v>2</v>
      </c>
      <c r="AK14" s="1">
        <v>1</v>
      </c>
      <c r="AL14" s="1">
        <v>22</v>
      </c>
      <c r="AM14" s="1">
        <v>6</v>
      </c>
      <c r="AN14" s="1">
        <v>16</v>
      </c>
      <c r="AO14" s="1">
        <v>17</v>
      </c>
      <c r="AP14" s="1">
        <v>2.75</v>
      </c>
      <c r="AQ14" s="1">
        <v>0.75</v>
      </c>
      <c r="AR14" s="1">
        <f>MATCH(lkupEuroQualifier[[#This Row],[Team]],lkupTeam[Team],0)</f>
        <v>22</v>
      </c>
      <c r="AU14" s="1">
        <v>49</v>
      </c>
      <c r="AV14" s="1" t="s">
        <v>458</v>
      </c>
      <c r="AW14" s="6">
        <v>44383</v>
      </c>
      <c r="AX14" s="8">
        <v>0.83333333333333337</v>
      </c>
      <c r="AY14" s="1">
        <v>1</v>
      </c>
    </row>
    <row r="15" spans="2:52" x14ac:dyDescent="0.25">
      <c r="B15" s="1" t="s">
        <v>13</v>
      </c>
      <c r="C15" s="4" t="s">
        <v>34</v>
      </c>
      <c r="D15" s="1">
        <v>2</v>
      </c>
      <c r="E15" s="1">
        <v>14</v>
      </c>
      <c r="F15" s="1" t="str">
        <f>lkupTeam[[#This Row],[Group_Code]]&amp;lkupTeam[[#This Row],[Group_Number]]</f>
        <v>D2</v>
      </c>
      <c r="G15" s="1">
        <f>INDEX(lkupEuroQualifier[],MATCH(lkupTeam[[#This Row],[Team]],lkupEuroQualifier[Team],0),MATCH("Rnk",lkupEuroQualifier[#Headers],0))</f>
        <v>10</v>
      </c>
      <c r="J15" s="1" t="s">
        <v>26</v>
      </c>
      <c r="K15" s="2">
        <v>1</v>
      </c>
      <c r="L15" s="3">
        <v>3</v>
      </c>
      <c r="M15" s="7">
        <v>44363</v>
      </c>
      <c r="N15" s="8">
        <v>0.70833333333333337</v>
      </c>
      <c r="O15" s="3">
        <v>13</v>
      </c>
      <c r="P15" s="2">
        <v>3</v>
      </c>
      <c r="Q15" s="11">
        <v>4</v>
      </c>
      <c r="R15" s="11" t="s">
        <v>442</v>
      </c>
      <c r="W15" s="10"/>
      <c r="X15" s="10"/>
      <c r="Y15" s="10"/>
      <c r="Z15" s="10"/>
      <c r="AA15" s="10"/>
      <c r="AE15" s="1">
        <v>14</v>
      </c>
      <c r="AF15" s="1" t="s">
        <v>31</v>
      </c>
      <c r="AG15" s="1" t="s">
        <v>15</v>
      </c>
      <c r="AH15" s="1">
        <v>8</v>
      </c>
      <c r="AI15" s="1">
        <v>5</v>
      </c>
      <c r="AJ15" s="1">
        <v>2</v>
      </c>
      <c r="AK15" s="1">
        <v>1</v>
      </c>
      <c r="AL15" s="1">
        <v>10</v>
      </c>
      <c r="AM15" s="1">
        <v>3</v>
      </c>
      <c r="AN15" s="1">
        <v>7</v>
      </c>
      <c r="AO15" s="1">
        <v>17</v>
      </c>
      <c r="AP15" s="1">
        <v>1.25</v>
      </c>
      <c r="AQ15" s="1">
        <v>0.375</v>
      </c>
      <c r="AR15" s="1">
        <f>MATCH(lkupEuroQualifier[[#This Row],[Team]],lkupTeam[Team],0)</f>
        <v>1</v>
      </c>
      <c r="AU15" s="1">
        <v>50</v>
      </c>
      <c r="AV15" s="1" t="s">
        <v>458</v>
      </c>
      <c r="AW15" s="6">
        <v>44384</v>
      </c>
      <c r="AX15" s="8">
        <v>0.83333333333333337</v>
      </c>
      <c r="AY15" s="1">
        <v>1</v>
      </c>
    </row>
    <row r="16" spans="2:52" x14ac:dyDescent="0.25">
      <c r="B16" s="1" t="s">
        <v>3</v>
      </c>
      <c r="C16" s="4" t="s">
        <v>34</v>
      </c>
      <c r="D16" s="1">
        <v>3</v>
      </c>
      <c r="E16" s="1">
        <v>15</v>
      </c>
      <c r="F16" s="1" t="str">
        <f>lkupTeam[[#This Row],[Group_Code]]&amp;lkupTeam[[#This Row],[Group_Number]]</f>
        <v>D3</v>
      </c>
      <c r="G16" s="1">
        <f>INDEX(lkupEuroQualifier[],MATCH(lkupTeam[[#This Row],[Team]],lkupEuroQualifier[Team],0),MATCH("Rnk",lkupEuroQualifier[#Headers],0))</f>
        <v>29</v>
      </c>
      <c r="J16" s="1" t="s">
        <v>26</v>
      </c>
      <c r="K16" s="2">
        <v>2</v>
      </c>
      <c r="L16" s="3">
        <v>4</v>
      </c>
      <c r="M16" s="7">
        <v>44363</v>
      </c>
      <c r="N16" s="8">
        <v>0.83333333333333337</v>
      </c>
      <c r="O16" s="3">
        <v>14</v>
      </c>
      <c r="P16" s="2">
        <v>4</v>
      </c>
      <c r="Q16" s="11">
        <v>2</v>
      </c>
      <c r="R16" s="2" t="s">
        <v>461</v>
      </c>
      <c r="W16" s="10"/>
      <c r="X16" s="10"/>
      <c r="Y16" s="10"/>
      <c r="Z16" s="10"/>
      <c r="AA16" s="10"/>
      <c r="AE16" s="1">
        <v>15</v>
      </c>
      <c r="AF16" s="1" t="s">
        <v>34</v>
      </c>
      <c r="AG16" s="1" t="s">
        <v>14</v>
      </c>
      <c r="AH16" s="1">
        <v>8</v>
      </c>
      <c r="AI16" s="1">
        <v>4</v>
      </c>
      <c r="AJ16" s="1">
        <v>4</v>
      </c>
      <c r="AK16" s="1">
        <v>0</v>
      </c>
      <c r="AL16" s="1">
        <v>23</v>
      </c>
      <c r="AM16" s="1">
        <v>6</v>
      </c>
      <c r="AN16" s="1">
        <v>17</v>
      </c>
      <c r="AO16" s="1">
        <v>16</v>
      </c>
      <c r="AP16" s="1">
        <v>2.875</v>
      </c>
      <c r="AQ16" s="1">
        <v>0.75</v>
      </c>
      <c r="AR16" s="1">
        <f>MATCH(lkupEuroQualifier[[#This Row],[Team]],lkupTeam[Team],0)</f>
        <v>5</v>
      </c>
      <c r="AU16" s="1">
        <v>51</v>
      </c>
      <c r="AV16" s="1" t="s">
        <v>459</v>
      </c>
      <c r="AW16" s="6">
        <v>44388</v>
      </c>
      <c r="AX16" s="8">
        <v>0.83333333333333337</v>
      </c>
      <c r="AY16" s="1">
        <v>1</v>
      </c>
      <c r="AZ16" s="1" t="s">
        <v>460</v>
      </c>
    </row>
    <row r="17" spans="2:44" x14ac:dyDescent="0.25">
      <c r="B17" s="1" t="s">
        <v>0</v>
      </c>
      <c r="C17" s="4" t="s">
        <v>34</v>
      </c>
      <c r="D17" s="1">
        <v>4</v>
      </c>
      <c r="E17" s="1">
        <v>16</v>
      </c>
      <c r="F17" s="1" t="str">
        <f>lkupTeam[[#This Row],[Group_Code]]&amp;lkupTeam[[#This Row],[Group_Number]]</f>
        <v>D4</v>
      </c>
      <c r="G17" s="1">
        <f>INDEX(lkupEuroQualifier[],MATCH(lkupTeam[[#This Row],[Team]],lkupEuroQualifier[Team],0),MATCH("Rnk",lkupEuroQualifier[#Headers],0))</f>
        <v>18</v>
      </c>
      <c r="J17" s="1" t="s">
        <v>33</v>
      </c>
      <c r="K17" s="2">
        <v>4</v>
      </c>
      <c r="L17" s="3">
        <v>2</v>
      </c>
      <c r="M17" s="7">
        <v>44364</v>
      </c>
      <c r="N17" s="8">
        <v>0.58333333333333337</v>
      </c>
      <c r="O17" s="3">
        <v>18</v>
      </c>
      <c r="P17" s="2">
        <v>3</v>
      </c>
      <c r="Q17" s="2">
        <v>8</v>
      </c>
      <c r="R17" s="2" t="s">
        <v>461</v>
      </c>
      <c r="W17" s="10"/>
      <c r="X17" s="10"/>
      <c r="Y17" s="10"/>
      <c r="Z17" s="10"/>
      <c r="AA17" s="10"/>
      <c r="AE17" s="1">
        <v>16</v>
      </c>
      <c r="AF17" s="1" t="s">
        <v>68</v>
      </c>
      <c r="AG17" s="1" t="s">
        <v>9</v>
      </c>
      <c r="AH17" s="1">
        <v>8</v>
      </c>
      <c r="AI17" s="1">
        <v>5</v>
      </c>
      <c r="AJ17" s="1">
        <v>1</v>
      </c>
      <c r="AK17" s="1">
        <v>2</v>
      </c>
      <c r="AL17" s="1">
        <v>13</v>
      </c>
      <c r="AM17" s="1">
        <v>8</v>
      </c>
      <c r="AN17" s="1">
        <v>5</v>
      </c>
      <c r="AO17" s="1">
        <v>16</v>
      </c>
      <c r="AP17" s="1">
        <v>1.625</v>
      </c>
      <c r="AQ17" s="1">
        <v>1</v>
      </c>
      <c r="AR17" s="1">
        <f>MATCH(lkupEuroQualifier[[#This Row],[Team]],lkupTeam[Team],0)</f>
        <v>9</v>
      </c>
    </row>
    <row r="18" spans="2:44" x14ac:dyDescent="0.25">
      <c r="B18" s="1" t="s">
        <v>19</v>
      </c>
      <c r="C18" s="4" t="s">
        <v>27</v>
      </c>
      <c r="D18" s="1">
        <v>1</v>
      </c>
      <c r="E18" s="1">
        <v>17</v>
      </c>
      <c r="F18" s="1" t="str">
        <f>lkupTeam[[#This Row],[Group_Code]]&amp;lkupTeam[[#This Row],[Group_Number]]</f>
        <v>E1</v>
      </c>
      <c r="G18" s="1">
        <f>INDEX(lkupEuroQualifier[],MATCH(lkupTeam[[#This Row],[Team]],lkupEuroQualifier[Team],0),MATCH("Rnk",lkupEuroQualifier[#Headers],0))</f>
        <v>8</v>
      </c>
      <c r="J18" s="1" t="s">
        <v>30</v>
      </c>
      <c r="K18" s="2">
        <v>1</v>
      </c>
      <c r="L18" s="3">
        <v>3</v>
      </c>
      <c r="M18" s="7">
        <v>44364</v>
      </c>
      <c r="N18" s="8">
        <v>0.70833333333333337</v>
      </c>
      <c r="O18" s="3">
        <v>16</v>
      </c>
      <c r="P18" s="2">
        <v>4</v>
      </c>
      <c r="Q18" s="2">
        <v>11</v>
      </c>
      <c r="R18" s="2" t="s">
        <v>461</v>
      </c>
      <c r="W18" s="10"/>
      <c r="X18" s="10"/>
      <c r="Y18" s="10"/>
      <c r="Z18" s="10"/>
      <c r="AA18" s="10"/>
      <c r="AE18" s="1">
        <v>17</v>
      </c>
      <c r="AF18" s="1" t="s">
        <v>32</v>
      </c>
      <c r="AG18" s="1" t="s">
        <v>16</v>
      </c>
      <c r="AH18" s="1">
        <v>8</v>
      </c>
      <c r="AI18" s="1">
        <v>4</v>
      </c>
      <c r="AJ18" s="1">
        <v>3</v>
      </c>
      <c r="AK18" s="1">
        <v>1</v>
      </c>
      <c r="AL18" s="1">
        <v>16</v>
      </c>
      <c r="AM18" s="1">
        <v>9</v>
      </c>
      <c r="AN18" s="1">
        <v>7</v>
      </c>
      <c r="AO18" s="1">
        <v>15</v>
      </c>
      <c r="AP18" s="1">
        <v>2</v>
      </c>
      <c r="AQ18" s="1">
        <v>1.125</v>
      </c>
      <c r="AR18" s="1">
        <f>MATCH(lkupEuroQualifier[[#This Row],[Team]],lkupTeam[Team],0)</f>
        <v>20</v>
      </c>
    </row>
    <row r="19" spans="2:44" x14ac:dyDescent="0.25">
      <c r="B19" s="1" t="s">
        <v>10</v>
      </c>
      <c r="C19" s="4" t="s">
        <v>27</v>
      </c>
      <c r="D19" s="1">
        <v>2</v>
      </c>
      <c r="E19" s="1">
        <v>18</v>
      </c>
      <c r="F19" s="1" t="str">
        <f>lkupTeam[[#This Row],[Group_Code]]&amp;lkupTeam[[#This Row],[Group_Number]]</f>
        <v>E2</v>
      </c>
      <c r="G19" s="1">
        <f>INDEX(lkupEuroQualifier[],MATCH(lkupTeam[[#This Row],[Team]],lkupEuroQualifier[Team],0),MATCH("Rnk",lkupEuroQualifier[#Headers],0))</f>
        <v>22</v>
      </c>
      <c r="J19" s="1" t="s">
        <v>33</v>
      </c>
      <c r="K19" s="2">
        <v>3</v>
      </c>
      <c r="L19" s="3">
        <v>1</v>
      </c>
      <c r="M19" s="7">
        <v>44364</v>
      </c>
      <c r="N19" s="8">
        <v>0.83333333333333337</v>
      </c>
      <c r="O19" s="3">
        <v>17</v>
      </c>
      <c r="P19" s="2">
        <v>4</v>
      </c>
      <c r="Q19" s="2">
        <v>9</v>
      </c>
      <c r="R19" s="2" t="s">
        <v>442</v>
      </c>
      <c r="AE19" s="1">
        <v>18</v>
      </c>
      <c r="AF19" s="1" t="s">
        <v>26</v>
      </c>
      <c r="AG19" s="1" t="s">
        <v>0</v>
      </c>
      <c r="AH19" s="1">
        <v>8</v>
      </c>
      <c r="AI19" s="1">
        <v>5</v>
      </c>
      <c r="AJ19" s="1">
        <v>0</v>
      </c>
      <c r="AK19" s="1">
        <v>3</v>
      </c>
      <c r="AL19" s="1">
        <v>13</v>
      </c>
      <c r="AM19" s="1">
        <v>11</v>
      </c>
      <c r="AN19" s="1">
        <v>2</v>
      </c>
      <c r="AO19" s="1">
        <v>15</v>
      </c>
      <c r="AP19" s="1">
        <v>1.625</v>
      </c>
      <c r="AQ19" s="1">
        <v>1.375</v>
      </c>
      <c r="AR19" s="1">
        <f>MATCH(lkupEuroQualifier[[#This Row],[Team]],lkupTeam[Team],0)</f>
        <v>16</v>
      </c>
    </row>
    <row r="20" spans="2:44" x14ac:dyDescent="0.25">
      <c r="B20" s="1" t="s">
        <v>2</v>
      </c>
      <c r="C20" s="4" t="s">
        <v>27</v>
      </c>
      <c r="D20" s="1">
        <v>3</v>
      </c>
      <c r="E20" s="1">
        <v>19</v>
      </c>
      <c r="F20" s="1" t="str">
        <f>lkupTeam[[#This Row],[Group_Code]]&amp;lkupTeam[[#This Row],[Group_Number]]</f>
        <v>E3</v>
      </c>
      <c r="G20" s="1">
        <f>INDEX(lkupEuroQualifier[],MATCH(lkupTeam[[#This Row],[Team]],lkupEuroQualifier[Team],0),MATCH("Rnk",lkupEuroQualifier[#Headers],0))</f>
        <v>5</v>
      </c>
      <c r="J20" s="1" t="s">
        <v>27</v>
      </c>
      <c r="K20" s="2">
        <v>4</v>
      </c>
      <c r="L20" s="3">
        <v>2</v>
      </c>
      <c r="M20" s="7">
        <v>44365</v>
      </c>
      <c r="N20" s="8">
        <v>0.58333333333333337</v>
      </c>
      <c r="O20" s="3">
        <v>21</v>
      </c>
      <c r="P20" s="2">
        <v>3</v>
      </c>
      <c r="Q20" s="2">
        <v>5</v>
      </c>
      <c r="R20" s="2" t="s">
        <v>442</v>
      </c>
      <c r="AE20" s="1">
        <v>19</v>
      </c>
      <c r="AF20" s="1" t="s">
        <v>27</v>
      </c>
      <c r="AG20" s="1" t="s">
        <v>23</v>
      </c>
      <c r="AH20" s="1">
        <v>8</v>
      </c>
      <c r="AI20" s="1">
        <v>4</v>
      </c>
      <c r="AJ20" s="1">
        <v>2</v>
      </c>
      <c r="AK20" s="1">
        <v>2</v>
      </c>
      <c r="AL20" s="1">
        <v>10</v>
      </c>
      <c r="AM20" s="1">
        <v>6</v>
      </c>
      <c r="AN20" s="1">
        <v>4</v>
      </c>
      <c r="AO20" s="1">
        <v>14</v>
      </c>
      <c r="AP20" s="1">
        <v>1.25</v>
      </c>
      <c r="AQ20" s="1">
        <v>0.75</v>
      </c>
      <c r="AR20" s="1">
        <f>MATCH(lkupEuroQualifier[[#This Row],[Team]],lkupTeam[Team],0)</f>
        <v>3</v>
      </c>
    </row>
    <row r="21" spans="2:44" x14ac:dyDescent="0.25">
      <c r="B21" s="1" t="s">
        <v>16</v>
      </c>
      <c r="C21" s="4" t="s">
        <v>27</v>
      </c>
      <c r="D21" s="1">
        <v>4</v>
      </c>
      <c r="E21" s="1">
        <v>20</v>
      </c>
      <c r="F21" s="1" t="str">
        <f>lkupTeam[[#This Row],[Group_Code]]&amp;lkupTeam[[#This Row],[Group_Number]]</f>
        <v>E4</v>
      </c>
      <c r="G21" s="1">
        <f>INDEX(lkupEuroQualifier[],MATCH(lkupTeam[[#This Row],[Team]],lkupEuroQualifier[Team],0),MATCH("Rnk",lkupEuroQualifier[#Headers],0))</f>
        <v>17</v>
      </c>
      <c r="J21" s="1" t="s">
        <v>34</v>
      </c>
      <c r="K21" s="2">
        <v>2</v>
      </c>
      <c r="L21" s="3">
        <v>4</v>
      </c>
      <c r="M21" s="7">
        <v>44365</v>
      </c>
      <c r="N21" s="8">
        <v>0.70833333333333337</v>
      </c>
      <c r="O21" s="3">
        <v>19</v>
      </c>
      <c r="P21" s="2">
        <v>3</v>
      </c>
      <c r="Q21" s="2">
        <v>10</v>
      </c>
      <c r="R21" s="2" t="s">
        <v>442</v>
      </c>
      <c r="AE21" s="1">
        <v>20</v>
      </c>
      <c r="AF21" s="1" t="s">
        <v>61</v>
      </c>
      <c r="AG21" s="1" t="s">
        <v>11</v>
      </c>
      <c r="AH21" s="1">
        <v>8</v>
      </c>
      <c r="AI21" s="1">
        <v>4</v>
      </c>
      <c r="AJ21" s="1">
        <v>0</v>
      </c>
      <c r="AK21" s="1">
        <v>4</v>
      </c>
      <c r="AL21" s="1">
        <v>11</v>
      </c>
      <c r="AM21" s="1">
        <v>10</v>
      </c>
      <c r="AN21" s="1">
        <v>1</v>
      </c>
      <c r="AO21" s="1">
        <v>12</v>
      </c>
      <c r="AP21" s="1">
        <v>1.375</v>
      </c>
      <c r="AQ21" s="1">
        <v>1.25</v>
      </c>
      <c r="AR21" s="1">
        <f>MATCH(lkupEuroQualifier[[#This Row],[Team]],lkupTeam[Team],0)</f>
        <v>6</v>
      </c>
    </row>
    <row r="22" spans="2:44" x14ac:dyDescent="0.25">
      <c r="B22" s="1" t="s">
        <v>21</v>
      </c>
      <c r="C22" s="4" t="s">
        <v>32</v>
      </c>
      <c r="D22" s="1">
        <v>1</v>
      </c>
      <c r="E22" s="1">
        <v>21</v>
      </c>
      <c r="F22" s="1" t="str">
        <f>lkupTeam[[#This Row],[Group_Code]]&amp;lkupTeam[[#This Row],[Group_Number]]</f>
        <v>F1</v>
      </c>
      <c r="G22" s="1">
        <f>INDEX(lkupEuroQualifier[],MATCH(lkupTeam[[#This Row],[Team]],lkupEuroQualifier[Team],0),MATCH("Rnk",lkupEuroQualifier[#Headers],0))</f>
        <v>31</v>
      </c>
      <c r="J22" s="1" t="s">
        <v>34</v>
      </c>
      <c r="K22" s="2">
        <v>1</v>
      </c>
      <c r="L22" s="3">
        <v>3</v>
      </c>
      <c r="M22" s="7">
        <v>44365</v>
      </c>
      <c r="N22" s="8">
        <v>0.83333333333333337</v>
      </c>
      <c r="O22" s="3">
        <v>20</v>
      </c>
      <c r="P22" s="2">
        <v>4</v>
      </c>
      <c r="Q22" s="2">
        <v>1</v>
      </c>
      <c r="R22" s="2" t="s">
        <v>461</v>
      </c>
      <c r="AE22" s="1">
        <v>21</v>
      </c>
      <c r="AF22" s="1" t="s">
        <v>30</v>
      </c>
      <c r="AG22" s="1" t="s">
        <v>384</v>
      </c>
      <c r="AH22" s="1">
        <v>8</v>
      </c>
      <c r="AI22" s="1">
        <v>4</v>
      </c>
      <c r="AJ22" s="1">
        <v>2</v>
      </c>
      <c r="AK22" s="1">
        <v>2</v>
      </c>
      <c r="AL22" s="1">
        <v>17</v>
      </c>
      <c r="AM22" s="1">
        <v>17</v>
      </c>
      <c r="AN22" s="1">
        <v>0</v>
      </c>
      <c r="AO22" s="1">
        <v>14</v>
      </c>
      <c r="AP22" s="1">
        <v>2.125</v>
      </c>
      <c r="AQ22" s="1">
        <v>2.125</v>
      </c>
      <c r="AR22" s="1" t="e">
        <f>MATCH(lkupEuroQualifier[[#This Row],[Team]],lkupTeam[Team],0)</f>
        <v>#N/A</v>
      </c>
    </row>
    <row r="23" spans="2:44" x14ac:dyDescent="0.25">
      <c r="B23" s="1" t="s">
        <v>7</v>
      </c>
      <c r="C23" s="4" t="s">
        <v>32</v>
      </c>
      <c r="D23" s="1">
        <v>2</v>
      </c>
      <c r="E23" s="1">
        <v>22</v>
      </c>
      <c r="F23" s="1" t="str">
        <f>lkupTeam[[#This Row],[Group_Code]]&amp;lkupTeam[[#This Row],[Group_Number]]</f>
        <v>F2</v>
      </c>
      <c r="G23" s="1">
        <f>INDEX(lkupEuroQualifier[],MATCH(lkupTeam[[#This Row],[Team]],lkupEuroQualifier[Team],0),MATCH("Rnk",lkupEuroQualifier[#Headers],0))</f>
        <v>13</v>
      </c>
      <c r="J23" s="1" t="s">
        <v>32</v>
      </c>
      <c r="K23" s="2">
        <v>1</v>
      </c>
      <c r="L23" s="3">
        <v>3</v>
      </c>
      <c r="M23" s="7">
        <v>44366</v>
      </c>
      <c r="N23" s="8">
        <v>0.58333333333333337</v>
      </c>
      <c r="O23" s="3">
        <v>23</v>
      </c>
      <c r="P23" s="2">
        <v>3</v>
      </c>
      <c r="Q23" s="2">
        <v>6</v>
      </c>
      <c r="R23" s="2" t="s">
        <v>442</v>
      </c>
      <c r="AE23" s="1">
        <v>22</v>
      </c>
      <c r="AF23" s="1" t="s">
        <v>27</v>
      </c>
      <c r="AG23" s="1" t="s">
        <v>10</v>
      </c>
      <c r="AH23" s="1">
        <v>8</v>
      </c>
      <c r="AI23" s="1">
        <v>4</v>
      </c>
      <c r="AJ23" s="1">
        <v>1</v>
      </c>
      <c r="AK23" s="1">
        <v>3</v>
      </c>
      <c r="AL23" s="1">
        <v>13</v>
      </c>
      <c r="AM23" s="1">
        <v>11</v>
      </c>
      <c r="AN23" s="1">
        <v>2</v>
      </c>
      <c r="AO23" s="1">
        <v>13</v>
      </c>
      <c r="AP23" s="1">
        <v>1.625</v>
      </c>
      <c r="AQ23" s="1">
        <v>1.375</v>
      </c>
      <c r="AR23" s="1">
        <f>MATCH(lkupEuroQualifier[[#This Row],[Team]],lkupTeam[Team],0)</f>
        <v>18</v>
      </c>
    </row>
    <row r="24" spans="2:44" x14ac:dyDescent="0.25">
      <c r="B24" s="1" t="s">
        <v>22</v>
      </c>
      <c r="C24" s="4" t="s">
        <v>32</v>
      </c>
      <c r="D24" s="1">
        <v>3</v>
      </c>
      <c r="E24" s="1">
        <v>23</v>
      </c>
      <c r="F24" s="1" t="str">
        <f>lkupTeam[[#This Row],[Group_Code]]&amp;lkupTeam[[#This Row],[Group_Number]]</f>
        <v>F3</v>
      </c>
      <c r="G24" s="1">
        <f>INDEX(lkupEuroQualifier[],MATCH(lkupTeam[[#This Row],[Team]],lkupEuroQualifier[Team],0),MATCH("Rnk",lkupEuroQualifier[#Headers],0))</f>
        <v>7</v>
      </c>
      <c r="J24" s="1" t="s">
        <v>32</v>
      </c>
      <c r="K24" s="2">
        <v>2</v>
      </c>
      <c r="L24" s="3">
        <v>4</v>
      </c>
      <c r="M24" s="7">
        <v>44366</v>
      </c>
      <c r="N24" s="8">
        <v>0.70833333333333337</v>
      </c>
      <c r="O24" s="3">
        <v>24</v>
      </c>
      <c r="P24" s="2">
        <v>4</v>
      </c>
      <c r="Q24" s="2">
        <v>3</v>
      </c>
      <c r="R24" s="2" t="s">
        <v>461</v>
      </c>
      <c r="AE24" s="1">
        <v>23</v>
      </c>
      <c r="AF24" s="1" t="s">
        <v>34</v>
      </c>
      <c r="AG24" s="1" t="s">
        <v>385</v>
      </c>
      <c r="AH24" s="1">
        <v>8</v>
      </c>
      <c r="AI24" s="1">
        <v>3</v>
      </c>
      <c r="AJ24" s="1">
        <v>4</v>
      </c>
      <c r="AK24" s="1">
        <v>1</v>
      </c>
      <c r="AL24" s="1">
        <v>7</v>
      </c>
      <c r="AM24" s="1">
        <v>5</v>
      </c>
      <c r="AN24" s="1">
        <v>2</v>
      </c>
      <c r="AO24" s="1">
        <v>13</v>
      </c>
      <c r="AP24" s="1">
        <v>0.875</v>
      </c>
      <c r="AQ24" s="1">
        <v>0.625</v>
      </c>
      <c r="AR24" s="1" t="e">
        <f>MATCH(lkupEuroQualifier[[#This Row],[Team]],lkupTeam[Team],0)</f>
        <v>#N/A</v>
      </c>
    </row>
    <row r="25" spans="2:44" x14ac:dyDescent="0.25">
      <c r="B25" s="1" t="s">
        <v>12</v>
      </c>
      <c r="C25" s="4" t="s">
        <v>32</v>
      </c>
      <c r="D25" s="1">
        <v>4</v>
      </c>
      <c r="E25" s="1">
        <v>24</v>
      </c>
      <c r="F25" s="1" t="str">
        <f>lkupTeam[[#This Row],[Group_Code]]&amp;lkupTeam[[#This Row],[Group_Number]]</f>
        <v>F4</v>
      </c>
      <c r="G25" s="1">
        <f>INDEX(lkupEuroQualifier[],MATCH(lkupTeam[[#This Row],[Team]],lkupEuroQualifier[Team],0),MATCH("Rnk",lkupEuroQualifier[#Headers],0))</f>
        <v>4</v>
      </c>
      <c r="J25" s="1" t="s">
        <v>27</v>
      </c>
      <c r="K25" s="2">
        <v>3</v>
      </c>
      <c r="L25" s="3">
        <v>1</v>
      </c>
      <c r="M25" s="7">
        <v>44366</v>
      </c>
      <c r="N25" s="8">
        <v>0.83333333333333337</v>
      </c>
      <c r="O25" s="3">
        <v>22</v>
      </c>
      <c r="P25" s="2">
        <v>4</v>
      </c>
      <c r="Q25" s="2">
        <v>7</v>
      </c>
      <c r="R25" s="2" t="s">
        <v>442</v>
      </c>
      <c r="AE25" s="1">
        <v>24</v>
      </c>
      <c r="AF25" s="1" t="s">
        <v>31</v>
      </c>
      <c r="AG25" s="1" t="s">
        <v>386</v>
      </c>
      <c r="AH25" s="1">
        <v>8</v>
      </c>
      <c r="AI25" s="1">
        <v>4</v>
      </c>
      <c r="AJ25" s="1">
        <v>1</v>
      </c>
      <c r="AK25" s="1">
        <v>3</v>
      </c>
      <c r="AL25" s="1">
        <v>9</v>
      </c>
      <c r="AM25" s="1">
        <v>10</v>
      </c>
      <c r="AN25" s="1" t="s">
        <v>86</v>
      </c>
      <c r="AO25" s="1">
        <v>13</v>
      </c>
      <c r="AP25" s="1">
        <v>1.125</v>
      </c>
      <c r="AQ25" s="1">
        <v>1.25</v>
      </c>
      <c r="AR25" s="1" t="e">
        <f>MATCH(lkupEuroQualifier[[#This Row],[Team]],lkupTeam[Team],0)</f>
        <v>#N/A</v>
      </c>
    </row>
    <row r="26" spans="2:44" x14ac:dyDescent="0.25">
      <c r="J26" s="1" t="s">
        <v>26</v>
      </c>
      <c r="K26" s="2">
        <v>4</v>
      </c>
      <c r="L26" s="2">
        <v>1</v>
      </c>
      <c r="M26" s="6">
        <v>44367</v>
      </c>
      <c r="N26" s="8">
        <v>0.70833333333333337</v>
      </c>
      <c r="O26" s="3">
        <v>25</v>
      </c>
      <c r="P26" s="2">
        <v>6</v>
      </c>
      <c r="Q26" s="2">
        <v>4</v>
      </c>
      <c r="R26" s="2" t="s">
        <v>461</v>
      </c>
      <c r="AE26" s="1">
        <v>25</v>
      </c>
      <c r="AF26" s="1" t="s">
        <v>33</v>
      </c>
      <c r="AG26" s="1" t="s">
        <v>387</v>
      </c>
      <c r="AH26" s="1">
        <v>8</v>
      </c>
      <c r="AI26" s="1">
        <v>4</v>
      </c>
      <c r="AJ26" s="1">
        <v>1</v>
      </c>
      <c r="AK26" s="1">
        <v>3</v>
      </c>
      <c r="AL26" s="1">
        <v>9</v>
      </c>
      <c r="AM26" s="1">
        <v>13</v>
      </c>
      <c r="AN26" s="1" t="s">
        <v>88</v>
      </c>
      <c r="AO26" s="1">
        <v>13</v>
      </c>
      <c r="AP26" s="1">
        <v>1.125</v>
      </c>
      <c r="AQ26" s="1">
        <v>1.625</v>
      </c>
      <c r="AR26" s="1" t="e">
        <f>MATCH(lkupEuroQualifier[[#This Row],[Team]],lkupTeam[Team],0)</f>
        <v>#N/A</v>
      </c>
    </row>
    <row r="27" spans="2:44" x14ac:dyDescent="0.25">
      <c r="J27" s="1" t="s">
        <v>26</v>
      </c>
      <c r="K27" s="2">
        <v>2</v>
      </c>
      <c r="L27" s="2">
        <v>3</v>
      </c>
      <c r="M27" s="6">
        <v>44367</v>
      </c>
      <c r="N27" s="8">
        <v>0.70833333333333337</v>
      </c>
      <c r="O27" s="3">
        <v>26</v>
      </c>
      <c r="P27" s="2">
        <v>5</v>
      </c>
      <c r="Q27" s="2">
        <v>2</v>
      </c>
      <c r="R27" s="2" t="s">
        <v>461</v>
      </c>
      <c r="AE27" s="1">
        <v>26</v>
      </c>
      <c r="AF27" s="1" t="s">
        <v>32</v>
      </c>
      <c r="AG27" s="1" t="s">
        <v>388</v>
      </c>
      <c r="AH27" s="1">
        <v>8</v>
      </c>
      <c r="AI27" s="1">
        <v>2</v>
      </c>
      <c r="AJ27" s="1">
        <v>5</v>
      </c>
      <c r="AK27" s="1">
        <v>1</v>
      </c>
      <c r="AL27" s="1">
        <v>15</v>
      </c>
      <c r="AM27" s="1">
        <v>10</v>
      </c>
      <c r="AN27" s="1">
        <v>5</v>
      </c>
      <c r="AO27" s="1">
        <v>11</v>
      </c>
      <c r="AP27" s="1">
        <v>1.875</v>
      </c>
      <c r="AQ27" s="1">
        <v>1.25</v>
      </c>
      <c r="AR27" s="1" t="e">
        <f>MATCH(lkupEuroQualifier[[#This Row],[Team]],lkupTeam[Team],0)</f>
        <v>#N/A</v>
      </c>
    </row>
    <row r="28" spans="2:44" x14ac:dyDescent="0.25">
      <c r="J28" s="1" t="s">
        <v>33</v>
      </c>
      <c r="K28" s="2">
        <v>2</v>
      </c>
      <c r="L28" s="2">
        <v>3</v>
      </c>
      <c r="M28" s="6">
        <v>44368</v>
      </c>
      <c r="N28" s="8">
        <v>0.70833333333333337</v>
      </c>
      <c r="O28" s="3">
        <v>29</v>
      </c>
      <c r="P28" s="2">
        <v>5</v>
      </c>
      <c r="Q28" s="2">
        <v>9</v>
      </c>
      <c r="R28" s="2" t="s">
        <v>461</v>
      </c>
      <c r="AE28" s="1">
        <v>27</v>
      </c>
      <c r="AF28" s="1" t="s">
        <v>26</v>
      </c>
      <c r="AG28" s="1" t="s">
        <v>389</v>
      </c>
      <c r="AH28" s="1">
        <v>8</v>
      </c>
      <c r="AI28" s="1">
        <v>3</v>
      </c>
      <c r="AJ28" s="1">
        <v>2</v>
      </c>
      <c r="AK28" s="1">
        <v>3</v>
      </c>
      <c r="AL28" s="1">
        <v>13</v>
      </c>
      <c r="AM28" s="1">
        <v>16</v>
      </c>
      <c r="AN28" s="1" t="s">
        <v>91</v>
      </c>
      <c r="AO28" s="1">
        <v>11</v>
      </c>
      <c r="AP28" s="1">
        <v>1.625</v>
      </c>
      <c r="AQ28" s="1">
        <v>2</v>
      </c>
      <c r="AR28" s="1" t="e">
        <f>MATCH(lkupEuroQualifier[[#This Row],[Team]],lkupTeam[Team],0)</f>
        <v>#N/A</v>
      </c>
    </row>
    <row r="29" spans="2:44" x14ac:dyDescent="0.25">
      <c r="J29" s="1" t="s">
        <v>33</v>
      </c>
      <c r="K29" s="2">
        <v>4</v>
      </c>
      <c r="L29" s="2">
        <v>1</v>
      </c>
      <c r="M29" s="6">
        <v>44368</v>
      </c>
      <c r="N29" s="8">
        <v>0.70833333333333337</v>
      </c>
      <c r="O29" s="3">
        <v>30</v>
      </c>
      <c r="P29" s="2">
        <v>6</v>
      </c>
      <c r="Q29" s="2">
        <v>8</v>
      </c>
      <c r="R29" s="2" t="s">
        <v>461</v>
      </c>
      <c r="AE29" s="1">
        <v>28</v>
      </c>
      <c r="AF29" s="1" t="s">
        <v>61</v>
      </c>
      <c r="AG29" s="1" t="s">
        <v>390</v>
      </c>
      <c r="AH29" s="1">
        <v>8</v>
      </c>
      <c r="AI29" s="1">
        <v>3</v>
      </c>
      <c r="AJ29" s="1">
        <v>1</v>
      </c>
      <c r="AK29" s="1">
        <v>4</v>
      </c>
      <c r="AL29" s="1">
        <v>9</v>
      </c>
      <c r="AM29" s="1">
        <v>13</v>
      </c>
      <c r="AN29" s="1" t="s">
        <v>88</v>
      </c>
      <c r="AO29" s="1">
        <v>10</v>
      </c>
      <c r="AP29" s="1">
        <v>1.125</v>
      </c>
      <c r="AQ29" s="1">
        <v>1.625</v>
      </c>
      <c r="AR29" s="1" t="e">
        <f>MATCH(lkupEuroQualifier[[#This Row],[Team]],lkupTeam[Team],0)</f>
        <v>#N/A</v>
      </c>
    </row>
    <row r="30" spans="2:44" x14ac:dyDescent="0.25">
      <c r="J30" s="1" t="s">
        <v>30</v>
      </c>
      <c r="K30" s="2">
        <v>2</v>
      </c>
      <c r="L30" s="2">
        <v>3</v>
      </c>
      <c r="M30" s="6">
        <v>44368</v>
      </c>
      <c r="N30" s="8">
        <v>0.83333333333333337</v>
      </c>
      <c r="O30" s="3">
        <v>27</v>
      </c>
      <c r="P30" s="2">
        <v>5</v>
      </c>
      <c r="Q30" s="2">
        <v>11</v>
      </c>
      <c r="R30" s="2" t="s">
        <v>442</v>
      </c>
      <c r="AE30" s="1">
        <v>29</v>
      </c>
      <c r="AF30" s="1" t="s">
        <v>28</v>
      </c>
      <c r="AG30" s="1" t="s">
        <v>3</v>
      </c>
      <c r="AH30" s="1">
        <v>8</v>
      </c>
      <c r="AI30" s="1">
        <v>3</v>
      </c>
      <c r="AJ30" s="1">
        <v>0</v>
      </c>
      <c r="AK30" s="1">
        <v>5</v>
      </c>
      <c r="AL30" s="1">
        <v>8</v>
      </c>
      <c r="AM30" s="1">
        <v>19</v>
      </c>
      <c r="AN30" s="1" t="s">
        <v>94</v>
      </c>
      <c r="AO30" s="1">
        <v>9</v>
      </c>
      <c r="AP30" s="1">
        <v>1</v>
      </c>
      <c r="AQ30" s="1">
        <v>2.375</v>
      </c>
      <c r="AR30" s="1">
        <f>MATCH(lkupEuroQualifier[[#This Row],[Team]],lkupTeam[Team],0)</f>
        <v>15</v>
      </c>
    </row>
    <row r="31" spans="2:44" x14ac:dyDescent="0.25">
      <c r="J31" s="1" t="s">
        <v>30</v>
      </c>
      <c r="K31" s="2">
        <v>4</v>
      </c>
      <c r="L31" s="2">
        <v>1</v>
      </c>
      <c r="M31" s="6">
        <v>44368</v>
      </c>
      <c r="N31" s="8">
        <v>0.83333333333333337</v>
      </c>
      <c r="O31" s="3">
        <v>28</v>
      </c>
      <c r="P31" s="2">
        <v>6</v>
      </c>
      <c r="Q31" s="2">
        <v>5</v>
      </c>
      <c r="R31" s="2" t="s">
        <v>442</v>
      </c>
      <c r="AE31" s="1">
        <v>30</v>
      </c>
      <c r="AF31" s="1" t="s">
        <v>68</v>
      </c>
      <c r="AG31" s="1" t="s">
        <v>6</v>
      </c>
      <c r="AH31" s="1">
        <v>8</v>
      </c>
      <c r="AI31" s="1">
        <v>2</v>
      </c>
      <c r="AJ31" s="1">
        <v>2</v>
      </c>
      <c r="AK31" s="1">
        <v>4</v>
      </c>
      <c r="AL31" s="1">
        <v>7</v>
      </c>
      <c r="AM31" s="1">
        <v>12</v>
      </c>
      <c r="AN31" s="1" t="s">
        <v>96</v>
      </c>
      <c r="AO31" s="1">
        <v>8</v>
      </c>
      <c r="AP31" s="1">
        <v>0.875</v>
      </c>
      <c r="AQ31" s="1">
        <v>1.5</v>
      </c>
      <c r="AR31" s="1">
        <f>MATCH(lkupEuroQualifier[[#This Row],[Team]],lkupTeam[Team],0)</f>
        <v>10</v>
      </c>
    </row>
    <row r="32" spans="2:44" x14ac:dyDescent="0.25">
      <c r="J32" s="1" t="s">
        <v>34</v>
      </c>
      <c r="K32" s="2">
        <v>2</v>
      </c>
      <c r="L32" s="2">
        <v>3</v>
      </c>
      <c r="M32" s="6">
        <v>44369</v>
      </c>
      <c r="N32" s="8">
        <v>0.83333333333333337</v>
      </c>
      <c r="O32" s="3">
        <v>31</v>
      </c>
      <c r="P32" s="2">
        <v>5</v>
      </c>
      <c r="Q32" s="2">
        <v>10</v>
      </c>
      <c r="R32" s="2" t="s">
        <v>461</v>
      </c>
      <c r="AE32" s="1">
        <v>31</v>
      </c>
      <c r="AF32" s="1" t="s">
        <v>27</v>
      </c>
      <c r="AG32" s="1" t="s">
        <v>21</v>
      </c>
      <c r="AH32" s="1">
        <v>8</v>
      </c>
      <c r="AI32" s="1">
        <v>4</v>
      </c>
      <c r="AJ32" s="1">
        <v>0</v>
      </c>
      <c r="AK32" s="1">
        <v>4</v>
      </c>
      <c r="AL32" s="1">
        <v>8</v>
      </c>
      <c r="AM32" s="1">
        <v>11</v>
      </c>
      <c r="AN32" s="1" t="s">
        <v>91</v>
      </c>
      <c r="AO32" s="1">
        <v>12</v>
      </c>
      <c r="AP32" s="1">
        <v>1</v>
      </c>
      <c r="AQ32" s="1">
        <v>1.375</v>
      </c>
      <c r="AR32" s="1">
        <f>MATCH(lkupEuroQualifier[[#This Row],[Team]],lkupTeam[Team],0)</f>
        <v>21</v>
      </c>
    </row>
    <row r="33" spans="10:44" x14ac:dyDescent="0.25">
      <c r="J33" s="1" t="s">
        <v>34</v>
      </c>
      <c r="K33" s="2">
        <v>4</v>
      </c>
      <c r="L33" s="2">
        <v>1</v>
      </c>
      <c r="M33" s="6">
        <v>44369</v>
      </c>
      <c r="N33" s="8">
        <v>0.83333333333333337</v>
      </c>
      <c r="O33" s="3">
        <v>32</v>
      </c>
      <c r="P33" s="2">
        <v>6</v>
      </c>
      <c r="Q33" s="2">
        <v>1</v>
      </c>
      <c r="R33" s="2" t="s">
        <v>461</v>
      </c>
      <c r="AE33" s="1">
        <v>32</v>
      </c>
      <c r="AF33" s="1" t="s">
        <v>68</v>
      </c>
      <c r="AG33" s="1" t="s">
        <v>391</v>
      </c>
      <c r="AH33" s="1">
        <v>8</v>
      </c>
      <c r="AI33" s="1">
        <v>2</v>
      </c>
      <c r="AJ33" s="1">
        <v>2</v>
      </c>
      <c r="AK33" s="1">
        <v>4</v>
      </c>
      <c r="AL33" s="1">
        <v>10</v>
      </c>
      <c r="AM33" s="1">
        <v>11</v>
      </c>
      <c r="AN33" s="1" t="s">
        <v>86</v>
      </c>
      <c r="AO33" s="1">
        <v>8</v>
      </c>
      <c r="AP33" s="1">
        <v>1.25</v>
      </c>
      <c r="AQ33" s="1">
        <v>1.375</v>
      </c>
      <c r="AR33" s="1" t="e">
        <f>MATCH(lkupEuroQualifier[[#This Row],[Team]],lkupTeam[Team],0)</f>
        <v>#N/A</v>
      </c>
    </row>
    <row r="34" spans="10:44" x14ac:dyDescent="0.25">
      <c r="J34" s="1" t="s">
        <v>27</v>
      </c>
      <c r="K34" s="2">
        <v>2</v>
      </c>
      <c r="L34" s="2">
        <v>3</v>
      </c>
      <c r="M34" s="6">
        <v>44370</v>
      </c>
      <c r="N34" s="8">
        <v>0.70833333333333337</v>
      </c>
      <c r="O34" s="3">
        <v>33</v>
      </c>
      <c r="P34" s="2">
        <v>5</v>
      </c>
      <c r="Q34" s="2">
        <v>7</v>
      </c>
      <c r="R34" s="2" t="s">
        <v>461</v>
      </c>
      <c r="AE34" s="1">
        <v>33</v>
      </c>
      <c r="AF34" s="1" t="s">
        <v>32</v>
      </c>
      <c r="AG34" s="1" t="s">
        <v>168</v>
      </c>
      <c r="AH34" s="1">
        <v>8</v>
      </c>
      <c r="AI34" s="1">
        <v>2</v>
      </c>
      <c r="AJ34" s="1">
        <v>2</v>
      </c>
      <c r="AK34" s="1">
        <v>4</v>
      </c>
      <c r="AL34" s="1">
        <v>12</v>
      </c>
      <c r="AM34" s="1">
        <v>15</v>
      </c>
      <c r="AN34" s="1" t="s">
        <v>91</v>
      </c>
      <c r="AO34" s="1">
        <v>8</v>
      </c>
      <c r="AP34" s="1">
        <v>1.5</v>
      </c>
      <c r="AQ34" s="1">
        <v>1.875</v>
      </c>
      <c r="AR34" s="1" t="e">
        <f>MATCH(lkupEuroQualifier[[#This Row],[Team]],lkupTeam[Team],0)</f>
        <v>#N/A</v>
      </c>
    </row>
    <row r="35" spans="10:44" x14ac:dyDescent="0.25">
      <c r="J35" s="1" t="s">
        <v>27</v>
      </c>
      <c r="K35" s="2">
        <v>4</v>
      </c>
      <c r="L35" s="2">
        <v>1</v>
      </c>
      <c r="M35" s="6">
        <v>44370</v>
      </c>
      <c r="N35" s="8">
        <v>0.70833333333333337</v>
      </c>
      <c r="O35" s="3">
        <v>34</v>
      </c>
      <c r="P35" s="2">
        <v>6</v>
      </c>
      <c r="Q35" s="2">
        <v>5</v>
      </c>
      <c r="R35" s="2" t="s">
        <v>461</v>
      </c>
      <c r="AE35" s="1">
        <v>34</v>
      </c>
      <c r="AF35" s="1" t="s">
        <v>34</v>
      </c>
      <c r="AG35" s="1" t="s">
        <v>392</v>
      </c>
      <c r="AH35" s="1">
        <v>8</v>
      </c>
      <c r="AI35" s="1">
        <v>2</v>
      </c>
      <c r="AJ35" s="1">
        <v>2</v>
      </c>
      <c r="AK35" s="1">
        <v>4</v>
      </c>
      <c r="AL35" s="1">
        <v>7</v>
      </c>
      <c r="AM35" s="1">
        <v>11</v>
      </c>
      <c r="AN35" s="1" t="s">
        <v>88</v>
      </c>
      <c r="AO35" s="1">
        <v>8</v>
      </c>
      <c r="AP35" s="1">
        <v>0.875</v>
      </c>
      <c r="AQ35" s="1">
        <v>1.375</v>
      </c>
      <c r="AR35" s="1" t="e">
        <f>MATCH(lkupEuroQualifier[[#This Row],[Team]],lkupTeam[Team],0)</f>
        <v>#N/A</v>
      </c>
    </row>
    <row r="36" spans="10:44" x14ac:dyDescent="0.25">
      <c r="J36" s="1" t="s">
        <v>32</v>
      </c>
      <c r="K36" s="2">
        <v>2</v>
      </c>
      <c r="L36" s="2">
        <v>3</v>
      </c>
      <c r="M36" s="6">
        <v>44370</v>
      </c>
      <c r="N36" s="8">
        <v>0.83333333333333337</v>
      </c>
      <c r="O36" s="3">
        <v>35</v>
      </c>
      <c r="P36" s="2">
        <v>5</v>
      </c>
      <c r="Q36" s="2">
        <v>6</v>
      </c>
      <c r="R36" s="2" t="s">
        <v>442</v>
      </c>
      <c r="AE36" s="1">
        <v>35</v>
      </c>
      <c r="AF36" s="1" t="s">
        <v>31</v>
      </c>
      <c r="AG36" s="1" t="s">
        <v>393</v>
      </c>
      <c r="AH36" s="1">
        <v>8</v>
      </c>
      <c r="AI36" s="1">
        <v>2</v>
      </c>
      <c r="AJ36" s="1">
        <v>1</v>
      </c>
      <c r="AK36" s="1">
        <v>5</v>
      </c>
      <c r="AL36" s="1">
        <v>10</v>
      </c>
      <c r="AM36" s="1">
        <v>14</v>
      </c>
      <c r="AN36" s="1" t="s">
        <v>88</v>
      </c>
      <c r="AO36" s="1">
        <v>7</v>
      </c>
      <c r="AP36" s="1">
        <v>1.25</v>
      </c>
      <c r="AQ36" s="1">
        <v>1.75</v>
      </c>
      <c r="AR36" s="1" t="e">
        <f>MATCH(lkupEuroQualifier[[#This Row],[Team]],lkupTeam[Team],0)</f>
        <v>#N/A</v>
      </c>
    </row>
    <row r="37" spans="10:44" x14ac:dyDescent="0.25">
      <c r="J37" s="1" t="s">
        <v>32</v>
      </c>
      <c r="K37" s="2">
        <v>4</v>
      </c>
      <c r="L37" s="2">
        <v>1</v>
      </c>
      <c r="M37" s="6">
        <v>44370</v>
      </c>
      <c r="N37" s="8">
        <v>0.83333333333333337</v>
      </c>
      <c r="O37" s="3">
        <v>36</v>
      </c>
      <c r="P37" s="2">
        <v>6</v>
      </c>
      <c r="Q37" s="2">
        <v>3</v>
      </c>
      <c r="R37" s="2" t="s">
        <v>442</v>
      </c>
      <c r="AE37" s="1">
        <v>36</v>
      </c>
      <c r="AF37" s="1" t="s">
        <v>61</v>
      </c>
      <c r="AG37" s="1" t="s">
        <v>394</v>
      </c>
      <c r="AH37" s="1">
        <v>8</v>
      </c>
      <c r="AI37" s="1">
        <v>2</v>
      </c>
      <c r="AJ37" s="1">
        <v>1</v>
      </c>
      <c r="AK37" s="1">
        <v>5</v>
      </c>
      <c r="AL37" s="1">
        <v>12</v>
      </c>
      <c r="AM37" s="1">
        <v>17</v>
      </c>
      <c r="AN37" s="1" t="s">
        <v>96</v>
      </c>
      <c r="AO37" s="1">
        <v>7</v>
      </c>
      <c r="AP37" s="1">
        <v>1.5</v>
      </c>
      <c r="AQ37" s="1">
        <v>2.125</v>
      </c>
      <c r="AR37" s="1" t="e">
        <f>MATCH(lkupEuroQualifier[[#This Row],[Team]],lkupTeam[Team],0)</f>
        <v>#N/A</v>
      </c>
    </row>
    <row r="38" spans="10:44" x14ac:dyDescent="0.25">
      <c r="AE38" s="1">
        <v>37</v>
      </c>
      <c r="AF38" s="1" t="s">
        <v>26</v>
      </c>
      <c r="AG38" s="1" t="s">
        <v>395</v>
      </c>
      <c r="AH38" s="1">
        <v>8</v>
      </c>
      <c r="AI38" s="1">
        <v>1</v>
      </c>
      <c r="AJ38" s="1">
        <v>3</v>
      </c>
      <c r="AK38" s="1">
        <v>4</v>
      </c>
      <c r="AL38" s="1">
        <v>6</v>
      </c>
      <c r="AM38" s="1">
        <v>17</v>
      </c>
      <c r="AN38" s="1" t="s">
        <v>94</v>
      </c>
      <c r="AO38" s="1">
        <v>6</v>
      </c>
      <c r="AP38" s="1">
        <v>0.75</v>
      </c>
      <c r="AQ38" s="1">
        <v>2.125</v>
      </c>
      <c r="AR38" s="1" t="e">
        <f>MATCH(lkupEuroQualifier[[#This Row],[Team]],lkupTeam[Team],0)</f>
        <v>#N/A</v>
      </c>
    </row>
    <row r="39" spans="10:44" x14ac:dyDescent="0.25">
      <c r="AE39" s="1">
        <v>38</v>
      </c>
      <c r="AF39" s="1" t="s">
        <v>30</v>
      </c>
      <c r="AG39" s="1" t="s">
        <v>396</v>
      </c>
      <c r="AH39" s="1">
        <v>8</v>
      </c>
      <c r="AI39" s="1">
        <v>1</v>
      </c>
      <c r="AJ39" s="1">
        <v>1</v>
      </c>
      <c r="AK39" s="1">
        <v>6</v>
      </c>
      <c r="AL39" s="1">
        <v>7</v>
      </c>
      <c r="AM39" s="1">
        <v>16</v>
      </c>
      <c r="AN39" s="1" t="s">
        <v>105</v>
      </c>
      <c r="AO39" s="1">
        <v>4</v>
      </c>
      <c r="AP39" s="1">
        <v>0.875</v>
      </c>
      <c r="AQ39" s="1">
        <v>2</v>
      </c>
      <c r="AR39" s="1" t="e">
        <f>MATCH(lkupEuroQualifier[[#This Row],[Team]],lkupTeam[Team],0)</f>
        <v>#N/A</v>
      </c>
    </row>
    <row r="40" spans="10:44" x14ac:dyDescent="0.25">
      <c r="AE40" s="1">
        <v>39</v>
      </c>
      <c r="AF40" s="1" t="s">
        <v>33</v>
      </c>
      <c r="AG40" s="1" t="s">
        <v>397</v>
      </c>
      <c r="AH40" s="1">
        <v>8</v>
      </c>
      <c r="AI40" s="1">
        <v>1</v>
      </c>
      <c r="AJ40" s="1">
        <v>1</v>
      </c>
      <c r="AK40" s="1">
        <v>6</v>
      </c>
      <c r="AL40" s="1">
        <v>4</v>
      </c>
      <c r="AM40" s="1">
        <v>16</v>
      </c>
      <c r="AN40" s="1" t="s">
        <v>107</v>
      </c>
      <c r="AO40" s="1">
        <v>4</v>
      </c>
      <c r="AP40" s="1">
        <v>0.5</v>
      </c>
      <c r="AQ40" s="1">
        <v>2</v>
      </c>
      <c r="AR40" s="1" t="e">
        <f>MATCH(lkupEuroQualifier[[#This Row],[Team]],lkupTeam[Team],0)</f>
        <v>#N/A</v>
      </c>
    </row>
    <row r="41" spans="10:44" x14ac:dyDescent="0.25">
      <c r="AE41" s="1">
        <v>40</v>
      </c>
      <c r="AF41" s="1" t="s">
        <v>28</v>
      </c>
      <c r="AG41" s="1" t="s">
        <v>398</v>
      </c>
      <c r="AH41" s="1">
        <v>8</v>
      </c>
      <c r="AI41" s="1">
        <v>1</v>
      </c>
      <c r="AJ41" s="1">
        <v>1</v>
      </c>
      <c r="AK41" s="1">
        <v>6</v>
      </c>
      <c r="AL41" s="1">
        <v>6</v>
      </c>
      <c r="AM41" s="1">
        <v>20</v>
      </c>
      <c r="AN41" s="1" t="s">
        <v>109</v>
      </c>
      <c r="AO41" s="1">
        <v>4</v>
      </c>
      <c r="AP41" s="1">
        <v>0.75</v>
      </c>
      <c r="AQ41" s="1">
        <v>2.5</v>
      </c>
      <c r="AR41" s="1" t="e">
        <f>MATCH(lkupEuroQualifier[[#This Row],[Team]],lkupTeam[Team],0)</f>
        <v>#N/A</v>
      </c>
    </row>
    <row r="42" spans="10:44" x14ac:dyDescent="0.25">
      <c r="AE42" s="1">
        <v>41</v>
      </c>
      <c r="AF42" s="1" t="s">
        <v>61</v>
      </c>
      <c r="AG42" s="1" t="s">
        <v>399</v>
      </c>
      <c r="AH42" s="1">
        <v>8</v>
      </c>
      <c r="AI42" s="1">
        <v>2</v>
      </c>
      <c r="AJ42" s="1">
        <v>0</v>
      </c>
      <c r="AK42" s="1">
        <v>6</v>
      </c>
      <c r="AL42" s="1">
        <v>10</v>
      </c>
      <c r="AM42" s="1">
        <v>24</v>
      </c>
      <c r="AN42" s="1" t="s">
        <v>109</v>
      </c>
      <c r="AO42" s="1">
        <v>6</v>
      </c>
      <c r="AP42" s="1">
        <v>1.25</v>
      </c>
      <c r="AQ42" s="1">
        <v>3</v>
      </c>
      <c r="AR42" s="1" t="e">
        <f>MATCH(lkupEuroQualifier[[#This Row],[Team]],lkupTeam[Team],0)</f>
        <v>#N/A</v>
      </c>
    </row>
    <row r="43" spans="10:44" x14ac:dyDescent="0.25">
      <c r="AE43" s="1">
        <v>42</v>
      </c>
      <c r="AF43" s="1" t="s">
        <v>68</v>
      </c>
      <c r="AG43" s="1" t="s">
        <v>400</v>
      </c>
      <c r="AH43" s="1">
        <v>8</v>
      </c>
      <c r="AI43" s="1">
        <v>1</v>
      </c>
      <c r="AJ43" s="1">
        <v>2</v>
      </c>
      <c r="AK43" s="1">
        <v>5</v>
      </c>
      <c r="AL43" s="1">
        <v>10</v>
      </c>
      <c r="AM43" s="1">
        <v>17</v>
      </c>
      <c r="AN43" s="1" t="s">
        <v>112</v>
      </c>
      <c r="AO43" s="1">
        <v>5</v>
      </c>
      <c r="AP43" s="1">
        <v>1.25</v>
      </c>
      <c r="AQ43" s="1">
        <v>2.125</v>
      </c>
      <c r="AR43" s="1" t="e">
        <f>MATCH(lkupEuroQualifier[[#This Row],[Team]],lkupTeam[Team],0)</f>
        <v>#N/A</v>
      </c>
    </row>
    <row r="44" spans="10:44" x14ac:dyDescent="0.25">
      <c r="AE44" s="1">
        <v>43</v>
      </c>
      <c r="AF44" s="1" t="s">
        <v>28</v>
      </c>
      <c r="AG44" s="1" t="s">
        <v>401</v>
      </c>
      <c r="AH44" s="1">
        <v>8</v>
      </c>
      <c r="AI44" s="1">
        <v>1</v>
      </c>
      <c r="AJ44" s="1">
        <v>1</v>
      </c>
      <c r="AK44" s="1">
        <v>6</v>
      </c>
      <c r="AL44" s="1">
        <v>6</v>
      </c>
      <c r="AM44" s="1">
        <v>16</v>
      </c>
      <c r="AN44" s="1" t="s">
        <v>114</v>
      </c>
      <c r="AO44" s="1">
        <v>4</v>
      </c>
      <c r="AP44" s="1">
        <v>0.75</v>
      </c>
      <c r="AQ44" s="1">
        <v>2</v>
      </c>
      <c r="AR44" s="1" t="e">
        <f>MATCH(lkupEuroQualifier[[#This Row],[Team]],lkupTeam[Team],0)</f>
        <v>#N/A</v>
      </c>
    </row>
    <row r="45" spans="10:44" x14ac:dyDescent="0.25">
      <c r="AE45" s="1">
        <v>44</v>
      </c>
      <c r="AF45" s="1" t="s">
        <v>26</v>
      </c>
      <c r="AG45" s="1" t="s">
        <v>402</v>
      </c>
      <c r="AH45" s="1">
        <v>8</v>
      </c>
      <c r="AI45" s="1">
        <v>0</v>
      </c>
      <c r="AJ45" s="1">
        <v>3</v>
      </c>
      <c r="AK45" s="1">
        <v>5</v>
      </c>
      <c r="AL45" s="1">
        <v>3</v>
      </c>
      <c r="AM45" s="1">
        <v>22</v>
      </c>
      <c r="AN45" s="1" t="s">
        <v>116</v>
      </c>
      <c r="AO45" s="1">
        <v>3</v>
      </c>
      <c r="AP45" s="1">
        <v>0.375</v>
      </c>
      <c r="AQ45" s="1">
        <v>2.75</v>
      </c>
      <c r="AR45" s="1" t="e">
        <f>MATCH(lkupEuroQualifier[[#This Row],[Team]],lkupTeam[Team],0)</f>
        <v>#N/A</v>
      </c>
    </row>
    <row r="46" spans="10:44" x14ac:dyDescent="0.25">
      <c r="AE46" s="1">
        <v>45</v>
      </c>
      <c r="AF46" s="1" t="s">
        <v>27</v>
      </c>
      <c r="AG46" s="1" t="s">
        <v>159</v>
      </c>
      <c r="AH46" s="1">
        <v>8</v>
      </c>
      <c r="AI46" s="1">
        <v>0</v>
      </c>
      <c r="AJ46" s="1">
        <v>1</v>
      </c>
      <c r="AK46" s="1">
        <v>7</v>
      </c>
      <c r="AL46" s="1">
        <v>5</v>
      </c>
      <c r="AM46" s="1">
        <v>18</v>
      </c>
      <c r="AN46" s="1" t="s">
        <v>118</v>
      </c>
      <c r="AO46" s="1">
        <v>1</v>
      </c>
      <c r="AP46" s="1">
        <v>0.625</v>
      </c>
      <c r="AQ46" s="1">
        <v>2.25</v>
      </c>
      <c r="AR46" s="1" t="e">
        <f>MATCH(lkupEuroQualifier[[#This Row],[Team]],lkupTeam[Team],0)</f>
        <v>#N/A</v>
      </c>
    </row>
    <row r="47" spans="10:44" x14ac:dyDescent="0.25">
      <c r="AE47" s="1">
        <v>46</v>
      </c>
      <c r="AF47" s="1" t="s">
        <v>31</v>
      </c>
      <c r="AG47" s="1" t="s">
        <v>403</v>
      </c>
      <c r="AH47" s="1">
        <v>8</v>
      </c>
      <c r="AI47" s="1">
        <v>0</v>
      </c>
      <c r="AJ47" s="1">
        <v>1</v>
      </c>
      <c r="AK47" s="1">
        <v>7</v>
      </c>
      <c r="AL47" s="1">
        <v>2</v>
      </c>
      <c r="AM47" s="1">
        <v>19</v>
      </c>
      <c r="AN47" s="1" t="s">
        <v>120</v>
      </c>
      <c r="AO47" s="1">
        <v>1</v>
      </c>
      <c r="AP47" s="1">
        <v>0.25</v>
      </c>
      <c r="AQ47" s="1">
        <v>2.375</v>
      </c>
      <c r="AR47" s="1" t="e">
        <f>MATCH(lkupEuroQualifier[[#This Row],[Team]],lkupTeam[Team],0)</f>
        <v>#N/A</v>
      </c>
    </row>
    <row r="48" spans="10:44" x14ac:dyDescent="0.25">
      <c r="AE48" s="1">
        <v>47</v>
      </c>
      <c r="AF48" s="1" t="s">
        <v>30</v>
      </c>
      <c r="AG48" s="1" t="s">
        <v>404</v>
      </c>
      <c r="AH48" s="1">
        <v>8</v>
      </c>
      <c r="AI48" s="1">
        <v>0</v>
      </c>
      <c r="AJ48" s="1">
        <v>1</v>
      </c>
      <c r="AK48" s="1">
        <v>7</v>
      </c>
      <c r="AL48" s="1">
        <v>5</v>
      </c>
      <c r="AM48" s="1">
        <v>25</v>
      </c>
      <c r="AN48" s="1" t="s">
        <v>122</v>
      </c>
      <c r="AO48" s="1">
        <v>1</v>
      </c>
      <c r="AP48" s="1">
        <v>0.625</v>
      </c>
      <c r="AQ48" s="1">
        <v>3.125</v>
      </c>
      <c r="AR48" s="1" t="e">
        <f>MATCH(lkupEuroQualifier[[#This Row],[Team]],lkupTeam[Team],0)</f>
        <v>#N/A</v>
      </c>
    </row>
    <row r="49" spans="31:44" x14ac:dyDescent="0.25">
      <c r="AE49" s="1">
        <v>48</v>
      </c>
      <c r="AF49" s="1" t="s">
        <v>33</v>
      </c>
      <c r="AG49" s="1" t="s">
        <v>405</v>
      </c>
      <c r="AH49" s="1">
        <v>8</v>
      </c>
      <c r="AI49" s="1">
        <v>0</v>
      </c>
      <c r="AJ49" s="1">
        <v>1</v>
      </c>
      <c r="AK49" s="1">
        <v>7</v>
      </c>
      <c r="AL49" s="1">
        <v>2</v>
      </c>
      <c r="AM49" s="1">
        <v>26</v>
      </c>
      <c r="AN49" s="1" t="s">
        <v>124</v>
      </c>
      <c r="AO49" s="1">
        <v>1</v>
      </c>
      <c r="AP49" s="1">
        <v>0.25</v>
      </c>
      <c r="AQ49" s="1">
        <v>3.25</v>
      </c>
      <c r="AR49" s="1" t="e">
        <f>MATCH(lkupEuroQualifier[[#This Row],[Team]],lkupTeam[Team],0)</f>
        <v>#N/A</v>
      </c>
    </row>
    <row r="50" spans="31:44" x14ac:dyDescent="0.25">
      <c r="AE50" s="1">
        <v>49</v>
      </c>
      <c r="AF50" s="1" t="s">
        <v>32</v>
      </c>
      <c r="AG50" s="1" t="s">
        <v>406</v>
      </c>
      <c r="AH50" s="1">
        <v>8</v>
      </c>
      <c r="AI50" s="1">
        <v>0</v>
      </c>
      <c r="AJ50" s="1">
        <v>0</v>
      </c>
      <c r="AK50" s="1">
        <v>8</v>
      </c>
      <c r="AL50" s="1">
        <v>2</v>
      </c>
      <c r="AM50" s="1">
        <v>28</v>
      </c>
      <c r="AN50" s="1" t="s">
        <v>126</v>
      </c>
      <c r="AO50" s="1">
        <v>0</v>
      </c>
      <c r="AP50" s="1">
        <v>0.25</v>
      </c>
      <c r="AQ50" s="1">
        <v>3.5</v>
      </c>
      <c r="AR50" s="1" t="e">
        <f>MATCH(lkupEuroQualifier[[#This Row],[Team]],lkupTeam[Team],0)</f>
        <v>#N/A</v>
      </c>
    </row>
    <row r="51" spans="31:44" x14ac:dyDescent="0.25">
      <c r="AE51" s="1">
        <v>50</v>
      </c>
      <c r="AF51" s="1" t="s">
        <v>34</v>
      </c>
      <c r="AG51" s="1" t="s">
        <v>407</v>
      </c>
      <c r="AH51" s="1">
        <v>8</v>
      </c>
      <c r="AI51" s="1">
        <v>0</v>
      </c>
      <c r="AJ51" s="1">
        <v>0</v>
      </c>
      <c r="AK51" s="1">
        <v>8</v>
      </c>
      <c r="AL51" s="1">
        <v>3</v>
      </c>
      <c r="AM51" s="1">
        <v>31</v>
      </c>
      <c r="AN51" s="1" t="s">
        <v>128</v>
      </c>
      <c r="AO51" s="1">
        <v>0</v>
      </c>
      <c r="AP51" s="1">
        <v>0.375</v>
      </c>
      <c r="AQ51" s="1">
        <v>3.875</v>
      </c>
      <c r="AR51" s="1" t="e">
        <f>MATCH(lkupEuroQualifier[[#This Row],[Team]],lkupTeam[Team],0)</f>
        <v>#N/A</v>
      </c>
    </row>
    <row r="52" spans="31:44" x14ac:dyDescent="0.25">
      <c r="AE52" s="1">
        <v>51</v>
      </c>
      <c r="AF52" s="1" t="s">
        <v>31</v>
      </c>
      <c r="AG52" s="1" t="s">
        <v>408</v>
      </c>
      <c r="AH52" s="1">
        <v>10</v>
      </c>
      <c r="AI52" s="1">
        <v>1</v>
      </c>
      <c r="AJ52" s="1">
        <v>0</v>
      </c>
      <c r="AK52" s="1">
        <v>9</v>
      </c>
      <c r="AL52" s="1">
        <v>4</v>
      </c>
      <c r="AM52" s="1">
        <v>26</v>
      </c>
      <c r="AN52" s="1" t="s">
        <v>130</v>
      </c>
      <c r="AO52" s="1">
        <v>3</v>
      </c>
      <c r="AP52" s="1">
        <v>0.4</v>
      </c>
      <c r="AQ52" s="1">
        <v>2.6</v>
      </c>
      <c r="AR52" s="1" t="e">
        <f>MATCH(lkupEuroQualifier[[#This Row],[Team]],lkupTeam[Team],0)</f>
        <v>#N/A</v>
      </c>
    </row>
    <row r="53" spans="31:44" x14ac:dyDescent="0.25">
      <c r="AE53" s="1">
        <v>52</v>
      </c>
      <c r="AF53" s="1" t="s">
        <v>32</v>
      </c>
      <c r="AG53" s="1" t="s">
        <v>409</v>
      </c>
      <c r="AH53" s="1">
        <v>10</v>
      </c>
      <c r="AI53" s="1">
        <v>1</v>
      </c>
      <c r="AJ53" s="1">
        <v>0</v>
      </c>
      <c r="AK53" s="1">
        <v>9</v>
      </c>
      <c r="AL53" s="1">
        <v>3</v>
      </c>
      <c r="AM53" s="1">
        <v>27</v>
      </c>
      <c r="AN53" s="1" t="s">
        <v>124</v>
      </c>
      <c r="AO53" s="1">
        <v>3</v>
      </c>
      <c r="AP53" s="1">
        <v>0.3</v>
      </c>
      <c r="AQ53" s="1">
        <v>2.7</v>
      </c>
      <c r="AR53" s="1" t="e">
        <f>MATCH(lkupEuroQualifier[[#This Row],[Team]],lkupTeam[Team],0)</f>
        <v>#N/A</v>
      </c>
    </row>
    <row r="54" spans="31:44" x14ac:dyDescent="0.25">
      <c r="AE54" s="1">
        <v>53</v>
      </c>
      <c r="AF54" s="1" t="s">
        <v>68</v>
      </c>
      <c r="AG54" s="1" t="s">
        <v>410</v>
      </c>
      <c r="AH54" s="1">
        <v>10</v>
      </c>
      <c r="AI54" s="1">
        <v>1</v>
      </c>
      <c r="AJ54" s="1">
        <v>0</v>
      </c>
      <c r="AK54" s="1">
        <v>9</v>
      </c>
      <c r="AL54" s="1">
        <v>3</v>
      </c>
      <c r="AM54" s="1">
        <v>28</v>
      </c>
      <c r="AN54" s="1" t="s">
        <v>133</v>
      </c>
      <c r="AO54" s="1">
        <v>3</v>
      </c>
      <c r="AP54" s="1">
        <v>0.3</v>
      </c>
      <c r="AQ54" s="1">
        <v>2.8</v>
      </c>
      <c r="AR54" s="1" t="e">
        <f>MATCH(lkupEuroQualifier[[#This Row],[Team]],lkupTeam[Team],0)</f>
        <v>#N/A</v>
      </c>
    </row>
    <row r="55" spans="31:44" x14ac:dyDescent="0.25">
      <c r="AE55" s="1">
        <v>54</v>
      </c>
      <c r="AF55" s="1" t="s">
        <v>61</v>
      </c>
      <c r="AG55" s="1" t="s">
        <v>411</v>
      </c>
      <c r="AH55" s="1">
        <v>10</v>
      </c>
      <c r="AI55" s="1">
        <v>0</v>
      </c>
      <c r="AJ55" s="1">
        <v>2</v>
      </c>
      <c r="AK55" s="1">
        <v>8</v>
      </c>
      <c r="AL55" s="1">
        <v>2</v>
      </c>
      <c r="AM55" s="1">
        <v>31</v>
      </c>
      <c r="AN55" s="1" t="s">
        <v>135</v>
      </c>
      <c r="AO55" s="1">
        <v>2</v>
      </c>
      <c r="AP55" s="1">
        <v>0.2</v>
      </c>
      <c r="AQ55" s="1">
        <v>3.1</v>
      </c>
      <c r="AR55" s="1" t="e">
        <f>MATCH(lkupEuroQualifier[[#This Row],[Team]],lkupTeam[Team],0)</f>
        <v>#N/A</v>
      </c>
    </row>
    <row r="56" spans="31:44" x14ac:dyDescent="0.25">
      <c r="AE56" s="1">
        <v>55</v>
      </c>
      <c r="AF56" s="1" t="s">
        <v>28</v>
      </c>
      <c r="AG56" s="1" t="s">
        <v>412</v>
      </c>
      <c r="AH56" s="1">
        <v>10</v>
      </c>
      <c r="AI56" s="1">
        <v>0</v>
      </c>
      <c r="AJ56" s="1">
        <v>0</v>
      </c>
      <c r="AK56" s="1">
        <v>10</v>
      </c>
      <c r="AL56" s="1">
        <v>1</v>
      </c>
      <c r="AM56" s="1">
        <v>51</v>
      </c>
      <c r="AN56" s="1" t="s">
        <v>137</v>
      </c>
      <c r="AO56" s="1">
        <v>0</v>
      </c>
      <c r="AP56" s="1">
        <v>0.1</v>
      </c>
      <c r="AQ56" s="1">
        <v>5.0999999999999996</v>
      </c>
      <c r="AR56" s="1" t="e">
        <f>MATCH(lkupEuroQualifier[[#This Row],[Team]],lkupTeam[Team],0)</f>
        <v>#N/A</v>
      </c>
    </row>
  </sheetData>
  <phoneticPr fontId="2" type="noConversion"/>
  <pageMargins left="0.7" right="0.7" top="0.75" bottom="0.75" header="0.3" footer="0.3"/>
  <pageSetup paperSize="9" orientation="portrait" horizontalDpi="360" verticalDpi="360" r:id="rId1"/>
  <tableParts count="5">
    <tablePart r:id="rId2"/>
    <tablePart r:id="rId3"/>
    <tablePart r:id="rId4"/>
    <tablePart r:id="rId5"/>
    <tablePart r:id="rId6"/>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A3D7E-D89D-48D9-A3A9-9643C3CCA9F2}">
  <dimension ref="B2:P57"/>
  <sheetViews>
    <sheetView workbookViewId="0">
      <selection activeCell="B15" sqref="B15"/>
    </sheetView>
  </sheetViews>
  <sheetFormatPr defaultRowHeight="15" x14ac:dyDescent="0.25"/>
  <cols>
    <col min="2" max="2" width="82.28515625" bestFit="1" customWidth="1"/>
    <col min="4" max="5" width="9.140625" style="1"/>
    <col min="6" max="6" width="22.85546875" style="1" bestFit="1" customWidth="1"/>
    <col min="7" max="15" width="9.140625" style="1"/>
  </cols>
  <sheetData>
    <row r="2" spans="2:16" x14ac:dyDescent="0.25">
      <c r="B2" t="s">
        <v>42</v>
      </c>
      <c r="D2" s="1" t="s">
        <v>52</v>
      </c>
      <c r="E2" s="1" t="s">
        <v>53</v>
      </c>
      <c r="F2" s="1" t="s">
        <v>24</v>
      </c>
      <c r="G2" s="1" t="s">
        <v>54</v>
      </c>
      <c r="H2" s="1" t="s">
        <v>55</v>
      </c>
      <c r="I2" s="1" t="s">
        <v>34</v>
      </c>
      <c r="J2" s="1" t="s">
        <v>29</v>
      </c>
      <c r="K2" s="1" t="s">
        <v>56</v>
      </c>
      <c r="L2" s="1" t="s">
        <v>57</v>
      </c>
      <c r="M2" s="1" t="s">
        <v>58</v>
      </c>
      <c r="N2" s="1" t="s">
        <v>59</v>
      </c>
      <c r="O2" s="1" t="s">
        <v>139</v>
      </c>
      <c r="P2" s="1" t="s">
        <v>138</v>
      </c>
    </row>
    <row r="3" spans="2:16" x14ac:dyDescent="0.25">
      <c r="B3" t="s">
        <v>43</v>
      </c>
      <c r="D3" s="1">
        <v>1</v>
      </c>
      <c r="E3" s="1" t="s">
        <v>28</v>
      </c>
      <c r="F3" s="1" t="s">
        <v>60</v>
      </c>
      <c r="G3" s="1">
        <v>8</v>
      </c>
      <c r="H3" s="1">
        <v>8</v>
      </c>
      <c r="I3" s="1">
        <v>0</v>
      </c>
      <c r="J3" s="1">
        <v>0</v>
      </c>
      <c r="K3" s="1">
        <v>27</v>
      </c>
      <c r="L3" s="1">
        <v>3</v>
      </c>
      <c r="M3" s="1">
        <v>24</v>
      </c>
      <c r="N3" s="1">
        <v>24</v>
      </c>
      <c r="O3" s="9">
        <f>K3/G3</f>
        <v>3.375</v>
      </c>
      <c r="P3" s="9">
        <f>L3/G3</f>
        <v>0.375</v>
      </c>
    </row>
    <row r="4" spans="2:16" x14ac:dyDescent="0.25">
      <c r="B4" t="s">
        <v>44</v>
      </c>
      <c r="D4" s="1">
        <v>2</v>
      </c>
      <c r="E4" s="1" t="s">
        <v>61</v>
      </c>
      <c r="F4" s="1" t="s">
        <v>62</v>
      </c>
      <c r="G4" s="1">
        <v>8</v>
      </c>
      <c r="H4" s="1">
        <v>8</v>
      </c>
      <c r="I4" s="1">
        <v>0</v>
      </c>
      <c r="J4" s="1">
        <v>0</v>
      </c>
      <c r="K4" s="1">
        <v>26</v>
      </c>
      <c r="L4" s="1">
        <v>4</v>
      </c>
      <c r="M4" s="1">
        <v>22</v>
      </c>
      <c r="N4" s="1">
        <v>24</v>
      </c>
      <c r="O4" s="9">
        <f t="shared" ref="O4:O57" si="0">K4/G4</f>
        <v>3.25</v>
      </c>
      <c r="P4" s="9">
        <f t="shared" ref="P4:P57" si="1">L4/G4</f>
        <v>0.5</v>
      </c>
    </row>
    <row r="5" spans="2:16" x14ac:dyDescent="0.25">
      <c r="B5" t="s">
        <v>45</v>
      </c>
      <c r="D5" s="1">
        <v>3</v>
      </c>
      <c r="E5" s="1" t="s">
        <v>26</v>
      </c>
      <c r="F5" s="1" t="s">
        <v>63</v>
      </c>
      <c r="G5" s="1">
        <v>8</v>
      </c>
      <c r="H5" s="1">
        <v>7</v>
      </c>
      <c r="I5" s="1">
        <v>0</v>
      </c>
      <c r="J5" s="1">
        <v>1</v>
      </c>
      <c r="K5" s="1">
        <v>37</v>
      </c>
      <c r="L5" s="1">
        <v>6</v>
      </c>
      <c r="M5" s="1">
        <v>31</v>
      </c>
      <c r="N5" s="1">
        <v>21</v>
      </c>
      <c r="O5" s="9">
        <f t="shared" si="0"/>
        <v>4.625</v>
      </c>
      <c r="P5" s="9">
        <f t="shared" si="1"/>
        <v>0.75</v>
      </c>
    </row>
    <row r="6" spans="2:16" x14ac:dyDescent="0.25">
      <c r="B6" t="s">
        <v>46</v>
      </c>
      <c r="D6" s="1">
        <v>4</v>
      </c>
      <c r="E6" s="1" t="s">
        <v>33</v>
      </c>
      <c r="F6" s="1" t="s">
        <v>64</v>
      </c>
      <c r="G6" s="1">
        <v>8</v>
      </c>
      <c r="H6" s="1">
        <v>7</v>
      </c>
      <c r="I6" s="1">
        <v>0</v>
      </c>
      <c r="J6" s="1">
        <v>1</v>
      </c>
      <c r="K6" s="1">
        <v>30</v>
      </c>
      <c r="L6" s="1">
        <v>7</v>
      </c>
      <c r="M6" s="1">
        <v>23</v>
      </c>
      <c r="N6" s="1">
        <v>21</v>
      </c>
      <c r="O6" s="9">
        <f t="shared" si="0"/>
        <v>3.75</v>
      </c>
      <c r="P6" s="9">
        <f t="shared" si="1"/>
        <v>0.875</v>
      </c>
    </row>
    <row r="7" spans="2:16" x14ac:dyDescent="0.25">
      <c r="B7" t="s">
        <v>47</v>
      </c>
      <c r="D7" s="1">
        <v>5</v>
      </c>
      <c r="E7" s="1" t="s">
        <v>32</v>
      </c>
      <c r="F7" s="1" t="s">
        <v>65</v>
      </c>
      <c r="G7" s="1">
        <v>8</v>
      </c>
      <c r="H7" s="1">
        <v>6</v>
      </c>
      <c r="I7" s="1">
        <v>2</v>
      </c>
      <c r="J7" s="1">
        <v>0</v>
      </c>
      <c r="K7" s="1">
        <v>22</v>
      </c>
      <c r="L7" s="1">
        <v>5</v>
      </c>
      <c r="M7" s="1">
        <v>17</v>
      </c>
      <c r="N7" s="1">
        <v>20</v>
      </c>
      <c r="O7" s="9">
        <f t="shared" si="0"/>
        <v>2.75</v>
      </c>
      <c r="P7" s="9">
        <f t="shared" si="1"/>
        <v>0.625</v>
      </c>
    </row>
    <row r="8" spans="2:16" x14ac:dyDescent="0.25">
      <c r="B8" t="s">
        <v>48</v>
      </c>
      <c r="D8" s="1">
        <v>6</v>
      </c>
      <c r="E8" s="1" t="s">
        <v>30</v>
      </c>
      <c r="F8" s="1" t="s">
        <v>66</v>
      </c>
      <c r="G8" s="1">
        <v>8</v>
      </c>
      <c r="H8" s="1">
        <v>6</v>
      </c>
      <c r="I8" s="1">
        <v>2</v>
      </c>
      <c r="J8" s="1">
        <v>0</v>
      </c>
      <c r="K8" s="1">
        <v>17</v>
      </c>
      <c r="L8" s="1">
        <v>4</v>
      </c>
      <c r="M8" s="1">
        <v>13</v>
      </c>
      <c r="N8" s="1">
        <v>20</v>
      </c>
      <c r="O8" s="9">
        <f t="shared" si="0"/>
        <v>2.125</v>
      </c>
      <c r="P8" s="9">
        <f t="shared" si="1"/>
        <v>0.5</v>
      </c>
    </row>
    <row r="9" spans="2:16" x14ac:dyDescent="0.25">
      <c r="B9" t="s">
        <v>49</v>
      </c>
      <c r="D9" s="1">
        <v>7</v>
      </c>
      <c r="E9" s="1" t="s">
        <v>31</v>
      </c>
      <c r="F9" s="1" t="s">
        <v>67</v>
      </c>
      <c r="G9" s="1">
        <v>8</v>
      </c>
      <c r="H9" s="1">
        <v>6</v>
      </c>
      <c r="I9" s="1">
        <v>1</v>
      </c>
      <c r="J9" s="1">
        <v>1</v>
      </c>
      <c r="K9" s="1">
        <v>19</v>
      </c>
      <c r="L9" s="1">
        <v>4</v>
      </c>
      <c r="M9" s="1">
        <v>15</v>
      </c>
      <c r="N9" s="1">
        <v>19</v>
      </c>
      <c r="O9" s="9">
        <f t="shared" si="0"/>
        <v>2.375</v>
      </c>
      <c r="P9" s="9">
        <f t="shared" si="1"/>
        <v>0.5</v>
      </c>
    </row>
    <row r="10" spans="2:16" x14ac:dyDescent="0.25">
      <c r="B10" t="s">
        <v>50</v>
      </c>
      <c r="D10" s="1">
        <v>8</v>
      </c>
      <c r="E10" s="1" t="s">
        <v>68</v>
      </c>
      <c r="F10" s="1" t="s">
        <v>69</v>
      </c>
      <c r="G10" s="1">
        <v>8</v>
      </c>
      <c r="H10" s="1">
        <v>6</v>
      </c>
      <c r="I10" s="1">
        <v>1</v>
      </c>
      <c r="J10" s="1">
        <v>1</v>
      </c>
      <c r="K10" s="1">
        <v>13</v>
      </c>
      <c r="L10" s="1">
        <v>5</v>
      </c>
      <c r="M10" s="1">
        <v>8</v>
      </c>
      <c r="N10" s="1">
        <v>19</v>
      </c>
      <c r="O10" s="9">
        <f t="shared" si="0"/>
        <v>1.625</v>
      </c>
      <c r="P10" s="9">
        <f t="shared" si="1"/>
        <v>0.625</v>
      </c>
    </row>
    <row r="11" spans="2:16" x14ac:dyDescent="0.25">
      <c r="B11" t="s">
        <v>51</v>
      </c>
      <c r="D11" s="1">
        <v>9</v>
      </c>
      <c r="E11" s="1" t="s">
        <v>34</v>
      </c>
      <c r="F11" s="1" t="s">
        <v>70</v>
      </c>
      <c r="G11" s="1">
        <v>8</v>
      </c>
      <c r="H11" s="1">
        <v>5</v>
      </c>
      <c r="I11" s="1">
        <v>2</v>
      </c>
      <c r="J11" s="1">
        <v>1</v>
      </c>
      <c r="K11" s="1">
        <v>19</v>
      </c>
      <c r="L11" s="1">
        <v>6</v>
      </c>
      <c r="M11" s="1">
        <v>13</v>
      </c>
      <c r="N11" s="1">
        <v>17</v>
      </c>
      <c r="O11" s="9">
        <f t="shared" si="0"/>
        <v>2.375</v>
      </c>
      <c r="P11" s="9">
        <f t="shared" si="1"/>
        <v>0.75</v>
      </c>
    </row>
    <row r="12" spans="2:16" x14ac:dyDescent="0.25">
      <c r="B12" t="s">
        <v>145</v>
      </c>
      <c r="D12" s="1">
        <v>10</v>
      </c>
      <c r="E12" s="1" t="s">
        <v>27</v>
      </c>
      <c r="F12" s="1" t="s">
        <v>71</v>
      </c>
      <c r="G12" s="1">
        <v>8</v>
      </c>
      <c r="H12" s="1">
        <v>5</v>
      </c>
      <c r="I12" s="1">
        <v>2</v>
      </c>
      <c r="J12" s="1">
        <v>1</v>
      </c>
      <c r="K12" s="1">
        <v>17</v>
      </c>
      <c r="L12" s="1">
        <v>7</v>
      </c>
      <c r="M12" s="1">
        <v>10</v>
      </c>
      <c r="N12" s="1">
        <v>17</v>
      </c>
      <c r="O12" s="9">
        <f t="shared" si="0"/>
        <v>2.125</v>
      </c>
      <c r="P12" s="9">
        <f t="shared" si="1"/>
        <v>0.875</v>
      </c>
    </row>
    <row r="13" spans="2:16" x14ac:dyDescent="0.25">
      <c r="D13" s="1">
        <v>11</v>
      </c>
      <c r="E13" s="1" t="s">
        <v>33</v>
      </c>
      <c r="F13" s="1" t="s">
        <v>72</v>
      </c>
      <c r="G13" s="1">
        <v>8</v>
      </c>
      <c r="H13" s="1">
        <v>6</v>
      </c>
      <c r="I13" s="1">
        <v>1</v>
      </c>
      <c r="J13" s="1">
        <v>1</v>
      </c>
      <c r="K13" s="1">
        <v>24</v>
      </c>
      <c r="L13" s="1">
        <v>7</v>
      </c>
      <c r="M13" s="1">
        <v>17</v>
      </c>
      <c r="N13" s="1">
        <v>19</v>
      </c>
      <c r="O13" s="9">
        <f t="shared" si="0"/>
        <v>3</v>
      </c>
      <c r="P13" s="9">
        <f t="shared" si="1"/>
        <v>0.875</v>
      </c>
    </row>
    <row r="14" spans="2:16" x14ac:dyDescent="0.25">
      <c r="B14" t="s">
        <v>140</v>
      </c>
      <c r="D14" s="1">
        <v>12</v>
      </c>
      <c r="E14" s="1" t="s">
        <v>28</v>
      </c>
      <c r="F14" s="1" t="s">
        <v>73</v>
      </c>
      <c r="G14" s="1">
        <v>8</v>
      </c>
      <c r="H14" s="1">
        <v>6</v>
      </c>
      <c r="I14" s="1">
        <v>0</v>
      </c>
      <c r="J14" s="1">
        <v>2</v>
      </c>
      <c r="K14" s="1">
        <v>19</v>
      </c>
      <c r="L14" s="1">
        <v>8</v>
      </c>
      <c r="M14" s="1">
        <v>11</v>
      </c>
      <c r="N14" s="1">
        <v>18</v>
      </c>
      <c r="O14" s="9">
        <f t="shared" si="0"/>
        <v>2.375</v>
      </c>
      <c r="P14" s="9">
        <f t="shared" si="1"/>
        <v>1</v>
      </c>
    </row>
    <row r="15" spans="2:16" x14ac:dyDescent="0.25">
      <c r="B15" t="s">
        <v>43</v>
      </c>
      <c r="D15" s="1">
        <v>13</v>
      </c>
      <c r="E15" s="1" t="s">
        <v>30</v>
      </c>
      <c r="F15" s="1" t="s">
        <v>74</v>
      </c>
      <c r="G15" s="1">
        <v>8</v>
      </c>
      <c r="H15" s="1">
        <v>5</v>
      </c>
      <c r="I15" s="1">
        <v>2</v>
      </c>
      <c r="J15" s="1">
        <v>1</v>
      </c>
      <c r="K15" s="1">
        <v>22</v>
      </c>
      <c r="L15" s="1">
        <v>6</v>
      </c>
      <c r="M15" s="1">
        <v>16</v>
      </c>
      <c r="N15" s="1">
        <v>17</v>
      </c>
      <c r="O15" s="9">
        <f t="shared" si="0"/>
        <v>2.75</v>
      </c>
      <c r="P15" s="9">
        <f t="shared" si="1"/>
        <v>0.75</v>
      </c>
    </row>
    <row r="16" spans="2:16" x14ac:dyDescent="0.25">
      <c r="B16" t="s">
        <v>141</v>
      </c>
      <c r="D16" s="1">
        <v>14</v>
      </c>
      <c r="E16" s="1" t="s">
        <v>31</v>
      </c>
      <c r="F16" s="1" t="s">
        <v>75</v>
      </c>
      <c r="G16" s="1">
        <v>8</v>
      </c>
      <c r="H16" s="1">
        <v>5</v>
      </c>
      <c r="I16" s="1">
        <v>2</v>
      </c>
      <c r="J16" s="1">
        <v>1</v>
      </c>
      <c r="K16" s="1">
        <v>10</v>
      </c>
      <c r="L16" s="1">
        <v>3</v>
      </c>
      <c r="M16" s="1">
        <v>7</v>
      </c>
      <c r="N16" s="1">
        <v>17</v>
      </c>
      <c r="O16" s="9">
        <f t="shared" si="0"/>
        <v>1.25</v>
      </c>
      <c r="P16" s="9">
        <f t="shared" si="1"/>
        <v>0.375</v>
      </c>
    </row>
    <row r="17" spans="2:16" x14ac:dyDescent="0.25">
      <c r="B17" t="s">
        <v>142</v>
      </c>
      <c r="D17" s="1">
        <v>15</v>
      </c>
      <c r="E17" s="1" t="s">
        <v>34</v>
      </c>
      <c r="F17" s="1" t="s">
        <v>76</v>
      </c>
      <c r="G17" s="1">
        <v>8</v>
      </c>
      <c r="H17" s="1">
        <v>4</v>
      </c>
      <c r="I17" s="1">
        <v>4</v>
      </c>
      <c r="J17" s="1">
        <v>0</v>
      </c>
      <c r="K17" s="1">
        <v>23</v>
      </c>
      <c r="L17" s="1">
        <v>6</v>
      </c>
      <c r="M17" s="1">
        <v>17</v>
      </c>
      <c r="N17" s="1">
        <v>16</v>
      </c>
      <c r="O17" s="9">
        <f t="shared" si="0"/>
        <v>2.875</v>
      </c>
      <c r="P17" s="9">
        <f t="shared" si="1"/>
        <v>0.75</v>
      </c>
    </row>
    <row r="18" spans="2:16" x14ac:dyDescent="0.25">
      <c r="B18" t="s">
        <v>143</v>
      </c>
      <c r="D18" s="1">
        <v>16</v>
      </c>
      <c r="E18" s="1" t="s">
        <v>68</v>
      </c>
      <c r="F18" s="1" t="s">
        <v>77</v>
      </c>
      <c r="G18" s="1">
        <v>8</v>
      </c>
      <c r="H18" s="1">
        <v>5</v>
      </c>
      <c r="I18" s="1">
        <v>1</v>
      </c>
      <c r="J18" s="1">
        <v>2</v>
      </c>
      <c r="K18" s="1">
        <v>13</v>
      </c>
      <c r="L18" s="1">
        <v>8</v>
      </c>
      <c r="M18" s="1">
        <v>5</v>
      </c>
      <c r="N18" s="1">
        <v>16</v>
      </c>
      <c r="O18" s="9">
        <f t="shared" si="0"/>
        <v>1.625</v>
      </c>
      <c r="P18" s="9">
        <f t="shared" si="1"/>
        <v>1</v>
      </c>
    </row>
    <row r="19" spans="2:16" x14ac:dyDescent="0.25">
      <c r="B19" t="s">
        <v>144</v>
      </c>
      <c r="D19" s="1">
        <v>17</v>
      </c>
      <c r="E19" s="1" t="s">
        <v>32</v>
      </c>
      <c r="F19" s="1" t="s">
        <v>78</v>
      </c>
      <c r="G19" s="1">
        <v>8</v>
      </c>
      <c r="H19" s="1">
        <v>4</v>
      </c>
      <c r="I19" s="1">
        <v>3</v>
      </c>
      <c r="J19" s="1">
        <v>1</v>
      </c>
      <c r="K19" s="1">
        <v>16</v>
      </c>
      <c r="L19" s="1">
        <v>9</v>
      </c>
      <c r="M19" s="1">
        <v>7</v>
      </c>
      <c r="N19" s="1">
        <v>15</v>
      </c>
      <c r="O19" s="9">
        <f t="shared" si="0"/>
        <v>2</v>
      </c>
      <c r="P19" s="9">
        <f t="shared" si="1"/>
        <v>1.125</v>
      </c>
    </row>
    <row r="20" spans="2:16" x14ac:dyDescent="0.25">
      <c r="B20" t="s">
        <v>145</v>
      </c>
      <c r="D20" s="1">
        <v>18</v>
      </c>
      <c r="E20" s="1" t="s">
        <v>26</v>
      </c>
      <c r="F20" s="1" t="s">
        <v>79</v>
      </c>
      <c r="G20" s="1">
        <v>8</v>
      </c>
      <c r="H20" s="1">
        <v>5</v>
      </c>
      <c r="I20" s="1">
        <v>0</v>
      </c>
      <c r="J20" s="1">
        <v>3</v>
      </c>
      <c r="K20" s="1">
        <v>13</v>
      </c>
      <c r="L20" s="1">
        <v>11</v>
      </c>
      <c r="M20" s="1">
        <v>2</v>
      </c>
      <c r="N20" s="1">
        <v>15</v>
      </c>
      <c r="O20" s="9">
        <f t="shared" si="0"/>
        <v>1.625</v>
      </c>
      <c r="P20" s="9">
        <f t="shared" si="1"/>
        <v>1.375</v>
      </c>
    </row>
    <row r="21" spans="2:16" x14ac:dyDescent="0.25">
      <c r="D21" s="1">
        <v>19</v>
      </c>
      <c r="E21" s="1" t="s">
        <v>27</v>
      </c>
      <c r="F21" s="1" t="s">
        <v>80</v>
      </c>
      <c r="G21" s="1">
        <v>8</v>
      </c>
      <c r="H21" s="1">
        <v>4</v>
      </c>
      <c r="I21" s="1">
        <v>2</v>
      </c>
      <c r="J21" s="1">
        <v>2</v>
      </c>
      <c r="K21" s="1">
        <v>10</v>
      </c>
      <c r="L21" s="1">
        <v>6</v>
      </c>
      <c r="M21" s="1">
        <v>4</v>
      </c>
      <c r="N21" s="1">
        <v>14</v>
      </c>
      <c r="O21" s="9">
        <f t="shared" si="0"/>
        <v>1.25</v>
      </c>
      <c r="P21" s="9">
        <f t="shared" si="1"/>
        <v>0.75</v>
      </c>
    </row>
    <row r="22" spans="2:16" x14ac:dyDescent="0.25">
      <c r="D22" s="1">
        <v>20</v>
      </c>
      <c r="E22" s="1" t="s">
        <v>61</v>
      </c>
      <c r="F22" s="1" t="s">
        <v>81</v>
      </c>
      <c r="G22" s="1">
        <v>8</v>
      </c>
      <c r="H22" s="1">
        <v>4</v>
      </c>
      <c r="I22" s="1">
        <v>0</v>
      </c>
      <c r="J22" s="1">
        <v>4</v>
      </c>
      <c r="K22" s="1">
        <v>11</v>
      </c>
      <c r="L22" s="1">
        <v>10</v>
      </c>
      <c r="M22" s="1">
        <v>1</v>
      </c>
      <c r="N22" s="1">
        <v>12</v>
      </c>
      <c r="O22" s="9">
        <f t="shared" si="0"/>
        <v>1.375</v>
      </c>
      <c r="P22" s="9">
        <f t="shared" si="1"/>
        <v>1.25</v>
      </c>
    </row>
    <row r="23" spans="2:16" x14ac:dyDescent="0.25">
      <c r="D23" s="1">
        <v>21</v>
      </c>
      <c r="E23" s="1" t="s">
        <v>30</v>
      </c>
      <c r="F23" s="1" t="s">
        <v>82</v>
      </c>
      <c r="G23" s="1">
        <v>8</v>
      </c>
      <c r="H23" s="1">
        <v>4</v>
      </c>
      <c r="I23" s="1">
        <v>2</v>
      </c>
      <c r="J23" s="1">
        <v>2</v>
      </c>
      <c r="K23" s="1">
        <v>17</v>
      </c>
      <c r="L23" s="1">
        <v>17</v>
      </c>
      <c r="M23" s="1">
        <v>0</v>
      </c>
      <c r="N23" s="1">
        <v>14</v>
      </c>
      <c r="O23" s="9">
        <f t="shared" si="0"/>
        <v>2.125</v>
      </c>
      <c r="P23" s="9">
        <f t="shared" si="1"/>
        <v>2.125</v>
      </c>
    </row>
    <row r="24" spans="2:16" x14ac:dyDescent="0.25">
      <c r="D24" s="1">
        <v>22</v>
      </c>
      <c r="E24" s="1" t="s">
        <v>27</v>
      </c>
      <c r="F24" s="1" t="s">
        <v>83</v>
      </c>
      <c r="G24" s="1">
        <v>8</v>
      </c>
      <c r="H24" s="1">
        <v>4</v>
      </c>
      <c r="I24" s="1">
        <v>1</v>
      </c>
      <c r="J24" s="1">
        <v>3</v>
      </c>
      <c r="K24" s="1">
        <v>13</v>
      </c>
      <c r="L24" s="1">
        <v>11</v>
      </c>
      <c r="M24" s="1">
        <v>2</v>
      </c>
      <c r="N24" s="1">
        <v>13</v>
      </c>
      <c r="O24" s="9">
        <f t="shared" si="0"/>
        <v>1.625</v>
      </c>
      <c r="P24" s="9">
        <f t="shared" si="1"/>
        <v>1.375</v>
      </c>
    </row>
    <row r="25" spans="2:16" x14ac:dyDescent="0.25">
      <c r="D25" s="1">
        <v>23</v>
      </c>
      <c r="E25" s="1" t="s">
        <v>34</v>
      </c>
      <c r="F25" s="1" t="s">
        <v>84</v>
      </c>
      <c r="G25" s="1">
        <v>8</v>
      </c>
      <c r="H25" s="1">
        <v>3</v>
      </c>
      <c r="I25" s="1">
        <v>4</v>
      </c>
      <c r="J25" s="1">
        <v>1</v>
      </c>
      <c r="K25" s="1">
        <v>7</v>
      </c>
      <c r="L25" s="1">
        <v>5</v>
      </c>
      <c r="M25" s="1">
        <v>2</v>
      </c>
      <c r="N25" s="1">
        <v>13</v>
      </c>
      <c r="O25" s="9">
        <f t="shared" si="0"/>
        <v>0.875</v>
      </c>
      <c r="P25" s="9">
        <f t="shared" si="1"/>
        <v>0.625</v>
      </c>
    </row>
    <row r="26" spans="2:16" x14ac:dyDescent="0.25">
      <c r="D26" s="1">
        <v>24</v>
      </c>
      <c r="E26" s="1" t="s">
        <v>31</v>
      </c>
      <c r="F26" s="1" t="s">
        <v>85</v>
      </c>
      <c r="G26" s="1">
        <v>8</v>
      </c>
      <c r="H26" s="1">
        <v>4</v>
      </c>
      <c r="I26" s="1">
        <v>1</v>
      </c>
      <c r="J26" s="1">
        <v>3</v>
      </c>
      <c r="K26" s="1">
        <v>9</v>
      </c>
      <c r="L26" s="1">
        <v>10</v>
      </c>
      <c r="M26" s="1" t="s">
        <v>86</v>
      </c>
      <c r="N26" s="1">
        <v>13</v>
      </c>
      <c r="O26" s="9">
        <f t="shared" si="0"/>
        <v>1.125</v>
      </c>
      <c r="P26" s="9">
        <f t="shared" si="1"/>
        <v>1.25</v>
      </c>
    </row>
    <row r="27" spans="2:16" x14ac:dyDescent="0.25">
      <c r="D27" s="1">
        <v>25</v>
      </c>
      <c r="E27" s="1" t="s">
        <v>33</v>
      </c>
      <c r="F27" s="1" t="s">
        <v>87</v>
      </c>
      <c r="G27" s="1">
        <v>8</v>
      </c>
      <c r="H27" s="1">
        <v>4</v>
      </c>
      <c r="I27" s="1">
        <v>1</v>
      </c>
      <c r="J27" s="1">
        <v>3</v>
      </c>
      <c r="K27" s="1">
        <v>9</v>
      </c>
      <c r="L27" s="1">
        <v>13</v>
      </c>
      <c r="M27" s="1" t="s">
        <v>88</v>
      </c>
      <c r="N27" s="1">
        <v>13</v>
      </c>
      <c r="O27" s="9">
        <f t="shared" si="0"/>
        <v>1.125</v>
      </c>
      <c r="P27" s="9">
        <f t="shared" si="1"/>
        <v>1.625</v>
      </c>
    </row>
    <row r="28" spans="2:16" x14ac:dyDescent="0.25">
      <c r="D28" s="1">
        <v>26</v>
      </c>
      <c r="E28" s="1" t="s">
        <v>32</v>
      </c>
      <c r="F28" s="1" t="s">
        <v>89</v>
      </c>
      <c r="G28" s="1">
        <v>8</v>
      </c>
      <c r="H28" s="1">
        <v>2</v>
      </c>
      <c r="I28" s="1">
        <v>5</v>
      </c>
      <c r="J28" s="1">
        <v>1</v>
      </c>
      <c r="K28" s="1">
        <v>15</v>
      </c>
      <c r="L28" s="1">
        <v>10</v>
      </c>
      <c r="M28" s="1">
        <v>5</v>
      </c>
      <c r="N28" s="1">
        <v>11</v>
      </c>
      <c r="O28" s="9">
        <f t="shared" si="0"/>
        <v>1.875</v>
      </c>
      <c r="P28" s="9">
        <f t="shared" si="1"/>
        <v>1.25</v>
      </c>
    </row>
    <row r="29" spans="2:16" x14ac:dyDescent="0.25">
      <c r="D29" s="1">
        <v>27</v>
      </c>
      <c r="E29" s="1" t="s">
        <v>26</v>
      </c>
      <c r="F29" s="1" t="s">
        <v>90</v>
      </c>
      <c r="G29" s="1">
        <v>8</v>
      </c>
      <c r="H29" s="1">
        <v>3</v>
      </c>
      <c r="I29" s="1">
        <v>2</v>
      </c>
      <c r="J29" s="1">
        <v>3</v>
      </c>
      <c r="K29" s="1">
        <v>13</v>
      </c>
      <c r="L29" s="1">
        <v>16</v>
      </c>
      <c r="M29" s="1" t="s">
        <v>91</v>
      </c>
      <c r="N29" s="1">
        <v>11</v>
      </c>
      <c r="O29" s="9">
        <f t="shared" si="0"/>
        <v>1.625</v>
      </c>
      <c r="P29" s="9">
        <f t="shared" si="1"/>
        <v>2</v>
      </c>
    </row>
    <row r="30" spans="2:16" x14ac:dyDescent="0.25">
      <c r="D30" s="1">
        <v>28</v>
      </c>
      <c r="E30" s="1" t="s">
        <v>61</v>
      </c>
      <c r="F30" s="1" t="s">
        <v>92</v>
      </c>
      <c r="G30" s="1">
        <v>8</v>
      </c>
      <c r="H30" s="1">
        <v>3</v>
      </c>
      <c r="I30" s="1">
        <v>1</v>
      </c>
      <c r="J30" s="1">
        <v>4</v>
      </c>
      <c r="K30" s="1">
        <v>9</v>
      </c>
      <c r="L30" s="1">
        <v>13</v>
      </c>
      <c r="M30" s="1" t="s">
        <v>88</v>
      </c>
      <c r="N30" s="1">
        <v>10</v>
      </c>
      <c r="O30" s="9">
        <f t="shared" si="0"/>
        <v>1.125</v>
      </c>
      <c r="P30" s="9">
        <f t="shared" si="1"/>
        <v>1.625</v>
      </c>
    </row>
    <row r="31" spans="2:16" x14ac:dyDescent="0.25">
      <c r="D31" s="1">
        <v>29</v>
      </c>
      <c r="E31" s="1" t="s">
        <v>28</v>
      </c>
      <c r="F31" s="1" t="s">
        <v>93</v>
      </c>
      <c r="G31" s="1">
        <v>8</v>
      </c>
      <c r="H31" s="1">
        <v>3</v>
      </c>
      <c r="I31" s="1">
        <v>0</v>
      </c>
      <c r="J31" s="1">
        <v>5</v>
      </c>
      <c r="K31" s="1">
        <v>8</v>
      </c>
      <c r="L31" s="1">
        <v>19</v>
      </c>
      <c r="M31" s="1" t="s">
        <v>94</v>
      </c>
      <c r="N31" s="1">
        <v>9</v>
      </c>
      <c r="O31" s="9">
        <f t="shared" si="0"/>
        <v>1</v>
      </c>
      <c r="P31" s="9">
        <f t="shared" si="1"/>
        <v>2.375</v>
      </c>
    </row>
    <row r="32" spans="2:16" x14ac:dyDescent="0.25">
      <c r="D32" s="1">
        <v>30</v>
      </c>
      <c r="E32" s="1" t="s">
        <v>68</v>
      </c>
      <c r="F32" s="1" t="s">
        <v>95</v>
      </c>
      <c r="G32" s="1">
        <v>8</v>
      </c>
      <c r="H32" s="1">
        <v>2</v>
      </c>
      <c r="I32" s="1">
        <v>2</v>
      </c>
      <c r="J32" s="1">
        <v>4</v>
      </c>
      <c r="K32" s="1">
        <v>7</v>
      </c>
      <c r="L32" s="1">
        <v>12</v>
      </c>
      <c r="M32" s="1" t="s">
        <v>96</v>
      </c>
      <c r="N32" s="1">
        <v>8</v>
      </c>
      <c r="O32" s="9">
        <f t="shared" si="0"/>
        <v>0.875</v>
      </c>
      <c r="P32" s="9">
        <f t="shared" si="1"/>
        <v>1.5</v>
      </c>
    </row>
    <row r="33" spans="4:16" x14ac:dyDescent="0.25">
      <c r="D33" s="1">
        <v>31</v>
      </c>
      <c r="E33" s="1" t="s">
        <v>27</v>
      </c>
      <c r="F33" s="1" t="s">
        <v>97</v>
      </c>
      <c r="G33" s="1">
        <v>8</v>
      </c>
      <c r="H33" s="1">
        <v>4</v>
      </c>
      <c r="I33" s="1">
        <v>0</v>
      </c>
      <c r="J33" s="1">
        <v>4</v>
      </c>
      <c r="K33" s="1">
        <v>8</v>
      </c>
      <c r="L33" s="1">
        <v>11</v>
      </c>
      <c r="M33" s="1" t="s">
        <v>91</v>
      </c>
      <c r="N33" s="1">
        <v>12</v>
      </c>
      <c r="O33" s="9">
        <f t="shared" si="0"/>
        <v>1</v>
      </c>
      <c r="P33" s="9">
        <f t="shared" si="1"/>
        <v>1.375</v>
      </c>
    </row>
    <row r="34" spans="4:16" x14ac:dyDescent="0.25">
      <c r="D34" s="1">
        <v>32</v>
      </c>
      <c r="E34" s="1" t="s">
        <v>68</v>
      </c>
      <c r="F34" s="1" t="s">
        <v>98</v>
      </c>
      <c r="G34" s="1">
        <v>8</v>
      </c>
      <c r="H34" s="1">
        <v>2</v>
      </c>
      <c r="I34" s="1">
        <v>2</v>
      </c>
      <c r="J34" s="1">
        <v>4</v>
      </c>
      <c r="K34" s="1">
        <v>10</v>
      </c>
      <c r="L34" s="1">
        <v>11</v>
      </c>
      <c r="M34" s="1" t="s">
        <v>86</v>
      </c>
      <c r="N34" s="1">
        <v>8</v>
      </c>
      <c r="O34" s="9">
        <f t="shared" si="0"/>
        <v>1.25</v>
      </c>
      <c r="P34" s="9">
        <f t="shared" si="1"/>
        <v>1.375</v>
      </c>
    </row>
    <row r="35" spans="4:16" x14ac:dyDescent="0.25">
      <c r="D35" s="1">
        <v>33</v>
      </c>
      <c r="E35" s="1" t="s">
        <v>32</v>
      </c>
      <c r="F35" s="1" t="s">
        <v>99</v>
      </c>
      <c r="G35" s="1">
        <v>8</v>
      </c>
      <c r="H35" s="1">
        <v>2</v>
      </c>
      <c r="I35" s="1">
        <v>2</v>
      </c>
      <c r="J35" s="1">
        <v>4</v>
      </c>
      <c r="K35" s="1">
        <v>12</v>
      </c>
      <c r="L35" s="1">
        <v>15</v>
      </c>
      <c r="M35" s="1" t="s">
        <v>91</v>
      </c>
      <c r="N35" s="1">
        <v>8</v>
      </c>
      <c r="O35" s="9">
        <f t="shared" si="0"/>
        <v>1.5</v>
      </c>
      <c r="P35" s="9">
        <f t="shared" si="1"/>
        <v>1.875</v>
      </c>
    </row>
    <row r="36" spans="4:16" x14ac:dyDescent="0.25">
      <c r="D36" s="1">
        <v>34</v>
      </c>
      <c r="E36" s="1" t="s">
        <v>34</v>
      </c>
      <c r="F36" s="1" t="s">
        <v>100</v>
      </c>
      <c r="G36" s="1">
        <v>8</v>
      </c>
      <c r="H36" s="1">
        <v>2</v>
      </c>
      <c r="I36" s="1">
        <v>2</v>
      </c>
      <c r="J36" s="1">
        <v>4</v>
      </c>
      <c r="K36" s="1">
        <v>7</v>
      </c>
      <c r="L36" s="1">
        <v>11</v>
      </c>
      <c r="M36" s="1" t="s">
        <v>88</v>
      </c>
      <c r="N36" s="1">
        <v>8</v>
      </c>
      <c r="O36" s="9">
        <f t="shared" si="0"/>
        <v>0.875</v>
      </c>
      <c r="P36" s="9">
        <f t="shared" si="1"/>
        <v>1.375</v>
      </c>
    </row>
    <row r="37" spans="4:16" x14ac:dyDescent="0.25">
      <c r="D37" s="1">
        <v>35</v>
      </c>
      <c r="E37" s="1" t="s">
        <v>31</v>
      </c>
      <c r="F37" s="1" t="s">
        <v>101</v>
      </c>
      <c r="G37" s="1">
        <v>8</v>
      </c>
      <c r="H37" s="1">
        <v>2</v>
      </c>
      <c r="I37" s="1">
        <v>1</v>
      </c>
      <c r="J37" s="1">
        <v>5</v>
      </c>
      <c r="K37" s="1">
        <v>10</v>
      </c>
      <c r="L37" s="1">
        <v>14</v>
      </c>
      <c r="M37" s="1" t="s">
        <v>88</v>
      </c>
      <c r="N37" s="1">
        <v>7</v>
      </c>
      <c r="O37" s="9">
        <f t="shared" si="0"/>
        <v>1.25</v>
      </c>
      <c r="P37" s="9">
        <f t="shared" si="1"/>
        <v>1.75</v>
      </c>
    </row>
    <row r="38" spans="4:16" x14ac:dyDescent="0.25">
      <c r="D38" s="1">
        <v>36</v>
      </c>
      <c r="E38" s="1" t="s">
        <v>61</v>
      </c>
      <c r="F38" s="1" t="s">
        <v>102</v>
      </c>
      <c r="G38" s="1">
        <v>8</v>
      </c>
      <c r="H38" s="1">
        <v>2</v>
      </c>
      <c r="I38" s="1">
        <v>1</v>
      </c>
      <c r="J38" s="1">
        <v>5</v>
      </c>
      <c r="K38" s="1">
        <v>12</v>
      </c>
      <c r="L38" s="1">
        <v>17</v>
      </c>
      <c r="M38" s="1" t="s">
        <v>96</v>
      </c>
      <c r="N38" s="1">
        <v>7</v>
      </c>
      <c r="O38" s="9">
        <f t="shared" si="0"/>
        <v>1.5</v>
      </c>
      <c r="P38" s="9">
        <f t="shared" si="1"/>
        <v>2.125</v>
      </c>
    </row>
    <row r="39" spans="4:16" x14ac:dyDescent="0.25">
      <c r="D39" s="1">
        <v>37</v>
      </c>
      <c r="E39" s="1" t="s">
        <v>26</v>
      </c>
      <c r="F39" s="1" t="s">
        <v>103</v>
      </c>
      <c r="G39" s="1">
        <v>8</v>
      </c>
      <c r="H39" s="1">
        <v>1</v>
      </c>
      <c r="I39" s="1">
        <v>3</v>
      </c>
      <c r="J39" s="1">
        <v>4</v>
      </c>
      <c r="K39" s="1">
        <v>6</v>
      </c>
      <c r="L39" s="1">
        <v>17</v>
      </c>
      <c r="M39" s="1" t="s">
        <v>94</v>
      </c>
      <c r="N39" s="1">
        <v>6</v>
      </c>
      <c r="O39" s="9">
        <f t="shared" si="0"/>
        <v>0.75</v>
      </c>
      <c r="P39" s="9">
        <f t="shared" si="1"/>
        <v>2.125</v>
      </c>
    </row>
    <row r="40" spans="4:16" x14ac:dyDescent="0.25">
      <c r="D40" s="1">
        <v>38</v>
      </c>
      <c r="E40" s="1" t="s">
        <v>30</v>
      </c>
      <c r="F40" s="1" t="s">
        <v>104</v>
      </c>
      <c r="G40" s="1">
        <v>8</v>
      </c>
      <c r="H40" s="1">
        <v>1</v>
      </c>
      <c r="I40" s="1">
        <v>1</v>
      </c>
      <c r="J40" s="1">
        <v>6</v>
      </c>
      <c r="K40" s="1">
        <v>7</v>
      </c>
      <c r="L40" s="1">
        <v>16</v>
      </c>
      <c r="M40" s="1" t="s">
        <v>105</v>
      </c>
      <c r="N40" s="1">
        <v>4</v>
      </c>
      <c r="O40" s="9">
        <f t="shared" si="0"/>
        <v>0.875</v>
      </c>
      <c r="P40" s="9">
        <f t="shared" si="1"/>
        <v>2</v>
      </c>
    </row>
    <row r="41" spans="4:16" x14ac:dyDescent="0.25">
      <c r="D41" s="1">
        <v>39</v>
      </c>
      <c r="E41" s="1" t="s">
        <v>33</v>
      </c>
      <c r="F41" s="1" t="s">
        <v>106</v>
      </c>
      <c r="G41" s="1">
        <v>8</v>
      </c>
      <c r="H41" s="1">
        <v>1</v>
      </c>
      <c r="I41" s="1">
        <v>1</v>
      </c>
      <c r="J41" s="1">
        <v>6</v>
      </c>
      <c r="K41" s="1">
        <v>4</v>
      </c>
      <c r="L41" s="1">
        <v>16</v>
      </c>
      <c r="M41" s="1" t="s">
        <v>107</v>
      </c>
      <c r="N41" s="1">
        <v>4</v>
      </c>
      <c r="O41" s="9">
        <f t="shared" si="0"/>
        <v>0.5</v>
      </c>
      <c r="P41" s="9">
        <f t="shared" si="1"/>
        <v>2</v>
      </c>
    </row>
    <row r="42" spans="4:16" x14ac:dyDescent="0.25">
      <c r="D42" s="1">
        <v>40</v>
      </c>
      <c r="E42" s="1" t="s">
        <v>28</v>
      </c>
      <c r="F42" s="1" t="s">
        <v>108</v>
      </c>
      <c r="G42" s="1">
        <v>8</v>
      </c>
      <c r="H42" s="1">
        <v>1</v>
      </c>
      <c r="I42" s="1">
        <v>1</v>
      </c>
      <c r="J42" s="1">
        <v>6</v>
      </c>
      <c r="K42" s="1">
        <v>6</v>
      </c>
      <c r="L42" s="1">
        <v>20</v>
      </c>
      <c r="M42" s="1" t="s">
        <v>109</v>
      </c>
      <c r="N42" s="1">
        <v>4</v>
      </c>
      <c r="O42" s="9">
        <f t="shared" si="0"/>
        <v>0.75</v>
      </c>
      <c r="P42" s="9">
        <f t="shared" si="1"/>
        <v>2.5</v>
      </c>
    </row>
    <row r="43" spans="4:16" x14ac:dyDescent="0.25">
      <c r="D43" s="1">
        <v>41</v>
      </c>
      <c r="E43" s="1" t="s">
        <v>61</v>
      </c>
      <c r="F43" s="1" t="s">
        <v>110</v>
      </c>
      <c r="G43" s="1">
        <v>8</v>
      </c>
      <c r="H43" s="1">
        <v>2</v>
      </c>
      <c r="I43" s="1">
        <v>0</v>
      </c>
      <c r="J43" s="1">
        <v>6</v>
      </c>
      <c r="K43" s="1">
        <v>10</v>
      </c>
      <c r="L43" s="1">
        <v>24</v>
      </c>
      <c r="M43" s="1" t="s">
        <v>109</v>
      </c>
      <c r="N43" s="1">
        <v>6</v>
      </c>
      <c r="O43" s="9">
        <f t="shared" si="0"/>
        <v>1.25</v>
      </c>
      <c r="P43" s="9">
        <f t="shared" si="1"/>
        <v>3</v>
      </c>
    </row>
    <row r="44" spans="4:16" x14ac:dyDescent="0.25">
      <c r="D44" s="1">
        <v>42</v>
      </c>
      <c r="E44" s="1" t="s">
        <v>68</v>
      </c>
      <c r="F44" s="1" t="s">
        <v>111</v>
      </c>
      <c r="G44" s="1">
        <v>8</v>
      </c>
      <c r="H44" s="1">
        <v>1</v>
      </c>
      <c r="I44" s="1">
        <v>2</v>
      </c>
      <c r="J44" s="1">
        <v>5</v>
      </c>
      <c r="K44" s="1">
        <v>10</v>
      </c>
      <c r="L44" s="1">
        <v>17</v>
      </c>
      <c r="M44" s="1" t="s">
        <v>112</v>
      </c>
      <c r="N44" s="1">
        <v>5</v>
      </c>
      <c r="O44" s="9">
        <f t="shared" si="0"/>
        <v>1.25</v>
      </c>
      <c r="P44" s="9">
        <f t="shared" si="1"/>
        <v>2.125</v>
      </c>
    </row>
    <row r="45" spans="4:16" x14ac:dyDescent="0.25">
      <c r="D45" s="1">
        <v>43</v>
      </c>
      <c r="E45" s="1" t="s">
        <v>28</v>
      </c>
      <c r="F45" s="1" t="s">
        <v>113</v>
      </c>
      <c r="G45" s="1">
        <v>8</v>
      </c>
      <c r="H45" s="1">
        <v>1</v>
      </c>
      <c r="I45" s="1">
        <v>1</v>
      </c>
      <c r="J45" s="1">
        <v>6</v>
      </c>
      <c r="K45" s="1">
        <v>6</v>
      </c>
      <c r="L45" s="1">
        <v>16</v>
      </c>
      <c r="M45" s="1" t="s">
        <v>114</v>
      </c>
      <c r="N45" s="1">
        <v>4</v>
      </c>
      <c r="O45" s="9">
        <f t="shared" si="0"/>
        <v>0.75</v>
      </c>
      <c r="P45" s="9">
        <f t="shared" si="1"/>
        <v>2</v>
      </c>
    </row>
    <row r="46" spans="4:16" x14ac:dyDescent="0.25">
      <c r="D46" s="1">
        <v>44</v>
      </c>
      <c r="E46" s="1" t="s">
        <v>26</v>
      </c>
      <c r="F46" s="1" t="s">
        <v>115</v>
      </c>
      <c r="G46" s="1">
        <v>8</v>
      </c>
      <c r="H46" s="1">
        <v>0</v>
      </c>
      <c r="I46" s="1">
        <v>3</v>
      </c>
      <c r="J46" s="1">
        <v>5</v>
      </c>
      <c r="K46" s="1">
        <v>3</v>
      </c>
      <c r="L46" s="1">
        <v>22</v>
      </c>
      <c r="M46" s="1" t="s">
        <v>116</v>
      </c>
      <c r="N46" s="1">
        <v>3</v>
      </c>
      <c r="O46" s="9">
        <f t="shared" si="0"/>
        <v>0.375</v>
      </c>
      <c r="P46" s="9">
        <f t="shared" si="1"/>
        <v>2.75</v>
      </c>
    </row>
    <row r="47" spans="4:16" x14ac:dyDescent="0.25">
      <c r="D47" s="1">
        <v>45</v>
      </c>
      <c r="E47" s="1" t="s">
        <v>27</v>
      </c>
      <c r="F47" s="1" t="s">
        <v>117</v>
      </c>
      <c r="G47" s="1">
        <v>8</v>
      </c>
      <c r="H47" s="1">
        <v>0</v>
      </c>
      <c r="I47" s="1">
        <v>1</v>
      </c>
      <c r="J47" s="1">
        <v>7</v>
      </c>
      <c r="K47" s="1">
        <v>5</v>
      </c>
      <c r="L47" s="1">
        <v>18</v>
      </c>
      <c r="M47" s="1" t="s">
        <v>118</v>
      </c>
      <c r="N47" s="1">
        <v>1</v>
      </c>
      <c r="O47" s="9">
        <f t="shared" si="0"/>
        <v>0.625</v>
      </c>
      <c r="P47" s="9">
        <f t="shared" si="1"/>
        <v>2.25</v>
      </c>
    </row>
    <row r="48" spans="4:16" x14ac:dyDescent="0.25">
      <c r="D48" s="1">
        <v>46</v>
      </c>
      <c r="E48" s="1" t="s">
        <v>31</v>
      </c>
      <c r="F48" s="1" t="s">
        <v>119</v>
      </c>
      <c r="G48" s="1">
        <v>8</v>
      </c>
      <c r="H48" s="1">
        <v>0</v>
      </c>
      <c r="I48" s="1">
        <v>1</v>
      </c>
      <c r="J48" s="1">
        <v>7</v>
      </c>
      <c r="K48" s="1">
        <v>2</v>
      </c>
      <c r="L48" s="1">
        <v>19</v>
      </c>
      <c r="M48" s="1" t="s">
        <v>120</v>
      </c>
      <c r="N48" s="1">
        <v>1</v>
      </c>
      <c r="O48" s="9">
        <f t="shared" si="0"/>
        <v>0.25</v>
      </c>
      <c r="P48" s="9">
        <f t="shared" si="1"/>
        <v>2.375</v>
      </c>
    </row>
    <row r="49" spans="4:16" x14ac:dyDescent="0.25">
      <c r="D49" s="1">
        <v>47</v>
      </c>
      <c r="E49" s="1" t="s">
        <v>30</v>
      </c>
      <c r="F49" s="1" t="s">
        <v>121</v>
      </c>
      <c r="G49" s="1">
        <v>8</v>
      </c>
      <c r="H49" s="1">
        <v>0</v>
      </c>
      <c r="I49" s="1">
        <v>1</v>
      </c>
      <c r="J49" s="1">
        <v>7</v>
      </c>
      <c r="K49" s="1">
        <v>5</v>
      </c>
      <c r="L49" s="1">
        <v>25</v>
      </c>
      <c r="M49" s="1" t="s">
        <v>122</v>
      </c>
      <c r="N49" s="1">
        <v>1</v>
      </c>
      <c r="O49" s="9">
        <f t="shared" si="0"/>
        <v>0.625</v>
      </c>
      <c r="P49" s="9">
        <f t="shared" si="1"/>
        <v>3.125</v>
      </c>
    </row>
    <row r="50" spans="4:16" x14ac:dyDescent="0.25">
      <c r="D50" s="1">
        <v>48</v>
      </c>
      <c r="E50" s="1" t="s">
        <v>33</v>
      </c>
      <c r="F50" s="1" t="s">
        <v>123</v>
      </c>
      <c r="G50" s="1">
        <v>8</v>
      </c>
      <c r="H50" s="1">
        <v>0</v>
      </c>
      <c r="I50" s="1">
        <v>1</v>
      </c>
      <c r="J50" s="1">
        <v>7</v>
      </c>
      <c r="K50" s="1">
        <v>2</v>
      </c>
      <c r="L50" s="1">
        <v>26</v>
      </c>
      <c r="M50" s="1" t="s">
        <v>124</v>
      </c>
      <c r="N50" s="1">
        <v>1</v>
      </c>
      <c r="O50" s="9">
        <f t="shared" si="0"/>
        <v>0.25</v>
      </c>
      <c r="P50" s="9">
        <f t="shared" si="1"/>
        <v>3.25</v>
      </c>
    </row>
    <row r="51" spans="4:16" x14ac:dyDescent="0.25">
      <c r="D51" s="1">
        <v>49</v>
      </c>
      <c r="E51" s="1" t="s">
        <v>32</v>
      </c>
      <c r="F51" s="1" t="s">
        <v>125</v>
      </c>
      <c r="G51" s="1">
        <v>8</v>
      </c>
      <c r="H51" s="1">
        <v>0</v>
      </c>
      <c r="I51" s="1">
        <v>0</v>
      </c>
      <c r="J51" s="1">
        <v>8</v>
      </c>
      <c r="K51" s="1">
        <v>2</v>
      </c>
      <c r="L51" s="1">
        <v>28</v>
      </c>
      <c r="M51" s="1" t="s">
        <v>126</v>
      </c>
      <c r="N51" s="1">
        <v>0</v>
      </c>
      <c r="O51" s="9">
        <f t="shared" si="0"/>
        <v>0.25</v>
      </c>
      <c r="P51" s="9">
        <f t="shared" si="1"/>
        <v>3.5</v>
      </c>
    </row>
    <row r="52" spans="4:16" x14ac:dyDescent="0.25">
      <c r="D52" s="1">
        <v>50</v>
      </c>
      <c r="E52" s="1" t="s">
        <v>34</v>
      </c>
      <c r="F52" s="1" t="s">
        <v>127</v>
      </c>
      <c r="G52" s="1">
        <v>8</v>
      </c>
      <c r="H52" s="1">
        <v>0</v>
      </c>
      <c r="I52" s="1">
        <v>0</v>
      </c>
      <c r="J52" s="1">
        <v>8</v>
      </c>
      <c r="K52" s="1">
        <v>3</v>
      </c>
      <c r="L52" s="1">
        <v>31</v>
      </c>
      <c r="M52" s="1" t="s">
        <v>128</v>
      </c>
      <c r="N52" s="1">
        <v>0</v>
      </c>
      <c r="O52" s="9">
        <f t="shared" si="0"/>
        <v>0.375</v>
      </c>
      <c r="P52" s="9">
        <f t="shared" si="1"/>
        <v>3.875</v>
      </c>
    </row>
    <row r="53" spans="4:16" x14ac:dyDescent="0.25">
      <c r="D53" s="1">
        <v>51</v>
      </c>
      <c r="E53" s="1" t="s">
        <v>31</v>
      </c>
      <c r="F53" s="1" t="s">
        <v>129</v>
      </c>
      <c r="G53" s="1">
        <v>10</v>
      </c>
      <c r="H53" s="1">
        <v>1</v>
      </c>
      <c r="I53" s="1">
        <v>0</v>
      </c>
      <c r="J53" s="1">
        <v>9</v>
      </c>
      <c r="K53" s="1">
        <v>4</v>
      </c>
      <c r="L53" s="1">
        <v>26</v>
      </c>
      <c r="M53" s="1" t="s">
        <v>130</v>
      </c>
      <c r="N53" s="1">
        <v>3</v>
      </c>
      <c r="O53" s="9">
        <f t="shared" si="0"/>
        <v>0.4</v>
      </c>
      <c r="P53" s="9">
        <f t="shared" si="1"/>
        <v>2.6</v>
      </c>
    </row>
    <row r="54" spans="4:16" x14ac:dyDescent="0.25">
      <c r="D54" s="1">
        <v>52</v>
      </c>
      <c r="E54" s="1" t="s">
        <v>32</v>
      </c>
      <c r="F54" s="1" t="s">
        <v>131</v>
      </c>
      <c r="G54" s="1">
        <v>10</v>
      </c>
      <c r="H54" s="1">
        <v>1</v>
      </c>
      <c r="I54" s="1">
        <v>0</v>
      </c>
      <c r="J54" s="1">
        <v>9</v>
      </c>
      <c r="K54" s="1">
        <v>3</v>
      </c>
      <c r="L54" s="1">
        <v>27</v>
      </c>
      <c r="M54" s="1" t="s">
        <v>124</v>
      </c>
      <c r="N54" s="1">
        <v>3</v>
      </c>
      <c r="O54" s="9">
        <f t="shared" si="0"/>
        <v>0.3</v>
      </c>
      <c r="P54" s="9">
        <f t="shared" si="1"/>
        <v>2.7</v>
      </c>
    </row>
    <row r="55" spans="4:16" x14ac:dyDescent="0.25">
      <c r="D55" s="1">
        <v>53</v>
      </c>
      <c r="E55" s="1" t="s">
        <v>68</v>
      </c>
      <c r="F55" s="1" t="s">
        <v>132</v>
      </c>
      <c r="G55" s="1">
        <v>10</v>
      </c>
      <c r="H55" s="1">
        <v>1</v>
      </c>
      <c r="I55" s="1">
        <v>0</v>
      </c>
      <c r="J55" s="1">
        <v>9</v>
      </c>
      <c r="K55" s="1">
        <v>3</v>
      </c>
      <c r="L55" s="1">
        <v>28</v>
      </c>
      <c r="M55" s="1" t="s">
        <v>133</v>
      </c>
      <c r="N55" s="1">
        <v>3</v>
      </c>
      <c r="O55" s="9">
        <f t="shared" si="0"/>
        <v>0.3</v>
      </c>
      <c r="P55" s="9">
        <f t="shared" si="1"/>
        <v>2.8</v>
      </c>
    </row>
    <row r="56" spans="4:16" x14ac:dyDescent="0.25">
      <c r="D56" s="1">
        <v>54</v>
      </c>
      <c r="E56" s="1" t="s">
        <v>61</v>
      </c>
      <c r="F56" s="1" t="s">
        <v>134</v>
      </c>
      <c r="G56" s="1">
        <v>10</v>
      </c>
      <c r="H56" s="1">
        <v>0</v>
      </c>
      <c r="I56" s="1">
        <v>2</v>
      </c>
      <c r="J56" s="1">
        <v>8</v>
      </c>
      <c r="K56" s="1">
        <v>2</v>
      </c>
      <c r="L56" s="1">
        <v>31</v>
      </c>
      <c r="M56" s="1" t="s">
        <v>135</v>
      </c>
      <c r="N56" s="1">
        <v>2</v>
      </c>
      <c r="O56" s="9">
        <f t="shared" si="0"/>
        <v>0.2</v>
      </c>
      <c r="P56" s="9">
        <f t="shared" si="1"/>
        <v>3.1</v>
      </c>
    </row>
    <row r="57" spans="4:16" x14ac:dyDescent="0.25">
      <c r="D57" s="1">
        <v>55</v>
      </c>
      <c r="E57" s="1" t="s">
        <v>28</v>
      </c>
      <c r="F57" s="1" t="s">
        <v>136</v>
      </c>
      <c r="G57" s="1">
        <v>10</v>
      </c>
      <c r="H57" s="1">
        <v>0</v>
      </c>
      <c r="I57" s="1">
        <v>0</v>
      </c>
      <c r="J57" s="1">
        <v>10</v>
      </c>
      <c r="K57" s="1">
        <v>1</v>
      </c>
      <c r="L57" s="1">
        <v>51</v>
      </c>
      <c r="M57" s="1" t="s">
        <v>137</v>
      </c>
      <c r="N57" s="1">
        <v>0</v>
      </c>
      <c r="O57" s="9">
        <f t="shared" si="0"/>
        <v>0.1</v>
      </c>
      <c r="P57" s="9">
        <f t="shared" si="1"/>
        <v>5.0999999999999996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Index &amp; Instructions</vt:lpstr>
      <vt:lpstr>Group Match Input</vt:lpstr>
      <vt:lpstr>Knockout Match Input</vt:lpstr>
      <vt:lpstr>Group A</vt:lpstr>
      <vt:lpstr>Group B</vt:lpstr>
      <vt:lpstr>Group C</vt:lpstr>
      <vt:lpstr>Group D</vt:lpstr>
      <vt:lpstr>Group E</vt:lpstr>
      <vt:lpstr>Group F</vt:lpstr>
      <vt:lpstr>3rd Place Table</vt:lpstr>
      <vt:lpstr>Knockout Results</vt:lpstr>
      <vt:lpstr>tblGroupTotals</vt:lpstr>
      <vt:lpstr>tblGroupTieBreakRank</vt:lpstr>
      <vt:lpstr>GroupTiebreak</vt:lpstr>
      <vt:lpstr>ThirdPlaceTieBreak</vt:lpstr>
      <vt:lpstr>lkup</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Jackson</dc:creator>
  <cp:lastModifiedBy>Matt Jackson</cp:lastModifiedBy>
  <dcterms:created xsi:type="dcterms:W3CDTF">2021-06-07T07:47:46Z</dcterms:created>
  <dcterms:modified xsi:type="dcterms:W3CDTF">2021-06-10T10:46:10Z</dcterms:modified>
</cp:coreProperties>
</file>