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Pat Bean Stuff\Sports\Deadball\General Game Info\"/>
    </mc:Choice>
  </mc:AlternateContent>
  <xr:revisionPtr revIDLastSave="0" documentId="13_ncr:1_{0C046FC2-2247-4B3B-8342-FF8D66618102}" xr6:coauthVersionLast="47" xr6:coauthVersionMax="47" xr10:uidLastSave="{00000000-0000-0000-0000-000000000000}"/>
  <bookViews>
    <workbookView xWindow="28680" yWindow="-120" windowWidth="29040" windowHeight="15720" xr2:uid="{0FD306A3-8B78-462A-BAEE-BBD6F38CC9FF}"/>
  </bookViews>
  <sheets>
    <sheet name="Info" sheetId="1" r:id="rId1"/>
    <sheet name="Team Season Stats" sheetId="2" r:id="rId2"/>
    <sheet name="Lineup Table" sheetId="3" r:id="rId3"/>
    <sheet name="Run and RBI Coeff" sheetId="4" r:id="rId4"/>
    <sheet name="Error Table" sheetId="5" r:id="rId5"/>
  </sheets>
  <definedNames>
    <definedName name="GamesPerSeason">Info!$B$6</definedName>
    <definedName name="ManagerialDaring">Info!$B$9</definedName>
    <definedName name="ManagerialDaringSMinus">Info!$B$11</definedName>
    <definedName name="ManagerialDaringSPlus">Info!$B$10</definedName>
    <definedName name="StarterAttendance">Info!$B$8</definedName>
    <definedName name="tbl_LineupPosPA">Table1[#All]</definedName>
    <definedName name="tbl_pError">Table6[#All]</definedName>
    <definedName name="tbl_RBICoeff">Table5[#All]</definedName>
    <definedName name="tbl_RunCoeff">Table4[#All]</definedName>
    <definedName name="TeamAveragePA">Info!$B$16</definedName>
    <definedName name="TeamAvgOBT">Info!$B$14</definedName>
    <definedName name="TeamDeltaPA">Info!$B$18</definedName>
    <definedName name="VisitingPAs">Info!$B$7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2" i="2" l="1"/>
  <c r="AN3" i="2"/>
  <c r="AN4" i="2"/>
  <c r="AN5" i="2"/>
  <c r="AN6" i="2"/>
  <c r="AN7" i="2"/>
  <c r="AN8" i="2"/>
  <c r="AN9" i="2"/>
  <c r="AN10" i="2"/>
  <c r="AN11" i="2"/>
  <c r="AN12" i="2"/>
  <c r="AN13" i="2"/>
  <c r="AN14" i="2"/>
  <c r="AM2" i="2"/>
  <c r="R2" i="2" s="1"/>
  <c r="AM3" i="2"/>
  <c r="R3" i="2" s="1"/>
  <c r="AM4" i="2"/>
  <c r="R4" i="2" s="1"/>
  <c r="AM5" i="2"/>
  <c r="R5" i="2" s="1"/>
  <c r="AM6" i="2"/>
  <c r="R6" i="2" s="1"/>
  <c r="AM7" i="2"/>
  <c r="R7" i="2" s="1"/>
  <c r="AM8" i="2"/>
  <c r="R8" i="2" s="1"/>
  <c r="AM9" i="2"/>
  <c r="R9" i="2" s="1"/>
  <c r="AM10" i="2"/>
  <c r="AM11" i="2"/>
  <c r="AM12" i="2"/>
  <c r="AM13" i="2"/>
  <c r="AM14" i="2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K2" i="2" a="1"/>
  <c r="AK2" i="2" s="1"/>
  <c r="AK3" i="2" a="1"/>
  <c r="AK3" i="2" s="1"/>
  <c r="AK4" i="2" a="1"/>
  <c r="AK4" i="2" s="1"/>
  <c r="AK5" i="2" a="1"/>
  <c r="AK5" i="2" s="1"/>
  <c r="AK6" i="2" a="1"/>
  <c r="AK6" i="2" s="1"/>
  <c r="AK7" i="2" a="1"/>
  <c r="AK7" i="2" s="1"/>
  <c r="AK8" i="2" a="1"/>
  <c r="AK8" i="2" s="1"/>
  <c r="AK9" i="2" a="1"/>
  <c r="AK9" i="2" s="1"/>
  <c r="AK10" i="2" a="1"/>
  <c r="AK10" i="2" s="1"/>
  <c r="AK11" i="2" a="1"/>
  <c r="AK11" i="2" s="1"/>
  <c r="AK12" i="2" a="1"/>
  <c r="AK12" i="2" s="1"/>
  <c r="AK13" i="2" a="1"/>
  <c r="AK13" i="2" s="1"/>
  <c r="AK14" i="2" a="1"/>
  <c r="AK14" i="2" s="1"/>
  <c r="AJ2" i="2" a="1"/>
  <c r="AJ2" i="2" s="1"/>
  <c r="AJ3" i="2" a="1"/>
  <c r="AJ3" i="2" s="1"/>
  <c r="AJ4" i="2" a="1"/>
  <c r="AJ4" i="2" s="1"/>
  <c r="AJ5" i="2" a="1"/>
  <c r="AJ5" i="2" s="1"/>
  <c r="AJ6" i="2" a="1"/>
  <c r="AJ6" i="2" s="1"/>
  <c r="AJ7" i="2" a="1"/>
  <c r="AJ7" i="2" s="1"/>
  <c r="AJ8" i="2" a="1"/>
  <c r="AJ8" i="2" s="1"/>
  <c r="AJ9" i="2" a="1"/>
  <c r="AJ9" i="2" s="1"/>
  <c r="AJ10" i="2" a="1"/>
  <c r="AJ10" i="2" s="1"/>
  <c r="AJ11" i="2" a="1"/>
  <c r="AJ11" i="2" s="1"/>
  <c r="AJ12" i="2" a="1"/>
  <c r="AJ12" i="2" s="1"/>
  <c r="AJ13" i="2" a="1"/>
  <c r="AJ13" i="2" s="1"/>
  <c r="AJ14" i="2" a="1"/>
  <c r="AJ14" i="2" s="1"/>
  <c r="AI2" i="2" a="1"/>
  <c r="AI2" i="2" s="1"/>
  <c r="AI3" i="2" a="1"/>
  <c r="AI3" i="2" s="1"/>
  <c r="AI4" i="2" a="1"/>
  <c r="AI4" i="2" s="1"/>
  <c r="AI5" i="2" a="1"/>
  <c r="AI5" i="2" s="1"/>
  <c r="AI6" i="2" a="1"/>
  <c r="AI6" i="2" s="1"/>
  <c r="AI7" i="2" a="1"/>
  <c r="AI7" i="2" s="1"/>
  <c r="AI8" i="2" a="1"/>
  <c r="AI8" i="2" s="1"/>
  <c r="AI9" i="2" a="1"/>
  <c r="AI9" i="2" s="1"/>
  <c r="AI10" i="2" a="1"/>
  <c r="AI10" i="2" s="1"/>
  <c r="AI11" i="2" a="1"/>
  <c r="AI11" i="2" s="1"/>
  <c r="AI12" i="2" a="1"/>
  <c r="AI12" i="2" s="1"/>
  <c r="AI13" i="2" a="1"/>
  <c r="AI13" i="2" s="1"/>
  <c r="AI14" i="2" a="1"/>
  <c r="AI14" i="2" s="1"/>
  <c r="AH2" i="2"/>
  <c r="AH3" i="2"/>
  <c r="AH4" i="2"/>
  <c r="AH5" i="2"/>
  <c r="AH6" i="2"/>
  <c r="AH7" i="2"/>
  <c r="AH8" i="2"/>
  <c r="AH9" i="2"/>
  <c r="AH10" i="2"/>
  <c r="AH11" i="2"/>
  <c r="AH12" i="2"/>
  <c r="AH13" i="2"/>
  <c r="AH14" i="2"/>
  <c r="AG2" i="2"/>
  <c r="AG3" i="2"/>
  <c r="AG4" i="2"/>
  <c r="AG5" i="2"/>
  <c r="AG6" i="2"/>
  <c r="AG7" i="2"/>
  <c r="AG8" i="2"/>
  <c r="AG9" i="2"/>
  <c r="AG10" i="2"/>
  <c r="AG11" i="2"/>
  <c r="AG12" i="2"/>
  <c r="AG13" i="2"/>
  <c r="AG14" i="2"/>
  <c r="AF2" i="2" a="1"/>
  <c r="AF2" i="2" s="1"/>
  <c r="AF3" i="2" a="1"/>
  <c r="AF3" i="2" s="1"/>
  <c r="AF4" i="2" a="1"/>
  <c r="AF4" i="2" s="1"/>
  <c r="AF5" i="2" a="1"/>
  <c r="AF5" i="2" s="1"/>
  <c r="AF6" i="2" a="1"/>
  <c r="AF6" i="2" s="1"/>
  <c r="AF7" i="2" a="1"/>
  <c r="AF7" i="2" s="1"/>
  <c r="AF8" i="2" a="1"/>
  <c r="AF8" i="2" s="1"/>
  <c r="AF9" i="2" a="1"/>
  <c r="AF9" i="2" s="1"/>
  <c r="AF10" i="2" a="1"/>
  <c r="AF10" i="2" s="1"/>
  <c r="AF11" i="2" a="1"/>
  <c r="AF11" i="2" s="1"/>
  <c r="AF12" i="2" a="1"/>
  <c r="AF12" i="2" s="1"/>
  <c r="AF13" i="2" a="1"/>
  <c r="AF13" i="2" s="1"/>
  <c r="AF14" i="2" a="1"/>
  <c r="AF14" i="2" s="1"/>
  <c r="B15" i="1"/>
  <c r="AE2" i="2" l="1" a="1"/>
  <c r="AE2" i="2" s="1"/>
  <c r="Q2" i="2" s="1"/>
  <c r="AE3" i="2" a="1"/>
  <c r="AE3" i="2" s="1"/>
  <c r="Q3" i="2" s="1"/>
  <c r="AE4" i="2" a="1"/>
  <c r="AE4" i="2" s="1"/>
  <c r="Q4" i="2" s="1"/>
  <c r="AE5" i="2" a="1"/>
  <c r="AE5" i="2" s="1"/>
  <c r="Q5" i="2" s="1"/>
  <c r="AE6" i="2" a="1"/>
  <c r="AE6" i="2" s="1"/>
  <c r="Q6" i="2" s="1"/>
  <c r="AE7" i="2" a="1"/>
  <c r="AE7" i="2" s="1"/>
  <c r="Q7" i="2" s="1"/>
  <c r="AE8" i="2" a="1"/>
  <c r="AE8" i="2" s="1"/>
  <c r="Q8" i="2" s="1"/>
  <c r="AE9" i="2" a="1"/>
  <c r="AE9" i="2" s="1"/>
  <c r="Q9" i="2" s="1"/>
  <c r="AE10" i="2" a="1"/>
  <c r="AE10" i="2" s="1"/>
  <c r="AE11" i="2" a="1"/>
  <c r="AE11" i="2" s="1"/>
  <c r="AE12" i="2" a="1"/>
  <c r="AE12" i="2" s="1"/>
  <c r="AE13" i="2" a="1"/>
  <c r="AE13" i="2" s="1"/>
  <c r="AE14" i="2" a="1"/>
  <c r="AE14" i="2" s="1"/>
  <c r="R11" i="2" l="1"/>
  <c r="Q11" i="2" s="1"/>
  <c r="R10" i="2"/>
  <c r="Q10" i="2" s="1"/>
  <c r="R14" i="2"/>
  <c r="Q14" i="2" s="1"/>
  <c r="R13" i="2"/>
  <c r="Q13" i="2" s="1"/>
  <c r="R12" i="2"/>
  <c r="Q12" i="2" s="1"/>
  <c r="B14" i="1" l="1"/>
  <c r="B16" i="1" s="1"/>
  <c r="B17" i="1" l="1"/>
  <c r="B18" i="1" s="1"/>
  <c r="E2" i="3" l="1"/>
  <c r="G2" i="2" s="1"/>
  <c r="E11" i="3"/>
  <c r="G14" i="2" s="1"/>
  <c r="E5" i="3"/>
  <c r="G5" i="2" s="1"/>
  <c r="E10" i="3"/>
  <c r="E7" i="3"/>
  <c r="G7" i="2" s="1"/>
  <c r="E8" i="3"/>
  <c r="G8" i="2" s="1"/>
  <c r="E3" i="3"/>
  <c r="G3" i="2" s="1"/>
  <c r="E9" i="3"/>
  <c r="G9" i="2" s="1"/>
  <c r="E4" i="3"/>
  <c r="G4" i="2" s="1"/>
  <c r="E6" i="3"/>
  <c r="G6" i="2" s="1"/>
  <c r="L9" i="2" l="1"/>
  <c r="L8" i="2"/>
  <c r="L7" i="2"/>
  <c r="L6" i="2"/>
  <c r="L5" i="2"/>
  <c r="L4" i="2"/>
  <c r="L3" i="2"/>
  <c r="L2" i="2"/>
  <c r="G11" i="2"/>
  <c r="G13" i="2"/>
  <c r="G12" i="2"/>
  <c r="T5" i="2"/>
  <c r="T3" i="2"/>
  <c r="T7" i="2"/>
  <c r="T4" i="2"/>
  <c r="T2" i="2"/>
  <c r="G10" i="2"/>
  <c r="T6" i="2"/>
  <c r="T9" i="2"/>
  <c r="T8" i="2"/>
  <c r="T14" i="2"/>
  <c r="J14" i="2" l="1"/>
  <c r="T12" i="2"/>
  <c r="T13" i="2"/>
  <c r="T11" i="2"/>
  <c r="S5" i="2"/>
  <c r="S7" i="2"/>
  <c r="S4" i="2"/>
  <c r="T10" i="2"/>
  <c r="S3" i="2"/>
  <c r="S9" i="2"/>
  <c r="S6" i="2"/>
  <c r="S2" i="2"/>
  <c r="S8" i="2"/>
  <c r="G15" i="2"/>
  <c r="S14" i="2"/>
  <c r="L15" i="2"/>
  <c r="J9" i="2" l="1"/>
  <c r="J3" i="2"/>
  <c r="J6" i="2"/>
  <c r="I5" i="2"/>
  <c r="V5" i="2" s="1"/>
  <c r="J11" i="2"/>
  <c r="AA11" i="2" s="1"/>
  <c r="J12" i="2"/>
  <c r="AA12" i="2" s="1"/>
  <c r="J8" i="2"/>
  <c r="K7" i="2"/>
  <c r="X7" i="2" s="1"/>
  <c r="J2" i="2"/>
  <c r="J7" i="2"/>
  <c r="AA7" i="2" s="1"/>
  <c r="I14" i="2"/>
  <c r="K14" i="2"/>
  <c r="J13" i="2"/>
  <c r="W13" i="2" s="1"/>
  <c r="J5" i="2"/>
  <c r="AA5" i="2" s="1"/>
  <c r="S12" i="2"/>
  <c r="S11" i="2"/>
  <c r="S13" i="2"/>
  <c r="K5" i="2"/>
  <c r="AB5" i="2" s="1"/>
  <c r="J4" i="2"/>
  <c r="AA4" i="2" s="1"/>
  <c r="K4" i="2"/>
  <c r="AB4" i="2" s="1"/>
  <c r="I6" i="2"/>
  <c r="K6" i="2"/>
  <c r="X6" i="2" s="1"/>
  <c r="I9" i="2"/>
  <c r="Z9" i="2" s="1"/>
  <c r="K9" i="2"/>
  <c r="X9" i="2" s="1"/>
  <c r="I8" i="2"/>
  <c r="K8" i="2"/>
  <c r="I2" i="2"/>
  <c r="Z2" i="2" s="1"/>
  <c r="K2" i="2"/>
  <c r="X2" i="2" s="1"/>
  <c r="W3" i="2"/>
  <c r="K3" i="2"/>
  <c r="AB3" i="2" s="1"/>
  <c r="AA3" i="2"/>
  <c r="I3" i="2"/>
  <c r="V3" i="2" s="1"/>
  <c r="I4" i="2"/>
  <c r="Z4" i="2" s="1"/>
  <c r="I7" i="2"/>
  <c r="V7" i="2" s="1"/>
  <c r="S10" i="2"/>
  <c r="W12" i="2"/>
  <c r="W11" i="2" l="1"/>
  <c r="Z5" i="2"/>
  <c r="W7" i="2"/>
  <c r="AA13" i="2"/>
  <c r="H14" i="2"/>
  <c r="AD14" i="2" s="1"/>
  <c r="O14" i="2" s="1"/>
  <c r="I11" i="2"/>
  <c r="K11" i="2"/>
  <c r="X11" i="2" s="1"/>
  <c r="I10" i="2"/>
  <c r="V10" i="2" s="1"/>
  <c r="K10" i="2"/>
  <c r="I13" i="2"/>
  <c r="V13" i="2" s="1"/>
  <c r="K13" i="2"/>
  <c r="AB13" i="2" s="1"/>
  <c r="I12" i="2"/>
  <c r="V12" i="2" s="1"/>
  <c r="K12" i="2"/>
  <c r="X12" i="2" s="1"/>
  <c r="J10" i="2"/>
  <c r="W10" i="2" s="1"/>
  <c r="W5" i="2"/>
  <c r="H5" i="2"/>
  <c r="AD5" i="2" s="1"/>
  <c r="O5" i="2" s="1"/>
  <c r="X5" i="2"/>
  <c r="X4" i="2"/>
  <c r="W4" i="2"/>
  <c r="X3" i="2"/>
  <c r="V2" i="2"/>
  <c r="AA8" i="2"/>
  <c r="W8" i="2"/>
  <c r="AA14" i="2"/>
  <c r="W14" i="2"/>
  <c r="W6" i="2"/>
  <c r="AA6" i="2"/>
  <c r="W2" i="2"/>
  <c r="AA2" i="2"/>
  <c r="W9" i="2"/>
  <c r="AA9" i="2"/>
  <c r="Z7" i="2"/>
  <c r="H7" i="2"/>
  <c r="U7" i="2" s="1"/>
  <c r="AB7" i="2"/>
  <c r="V4" i="2"/>
  <c r="H3" i="2"/>
  <c r="H4" i="2"/>
  <c r="AB2" i="2"/>
  <c r="Z3" i="2"/>
  <c r="H2" i="2"/>
  <c r="H6" i="2"/>
  <c r="AD6" i="2" s="1"/>
  <c r="O6" i="2" s="1"/>
  <c r="H8" i="2"/>
  <c r="AB9" i="2"/>
  <c r="AB6" i="2"/>
  <c r="H9" i="2"/>
  <c r="Z8" i="2"/>
  <c r="V8" i="2"/>
  <c r="V9" i="2"/>
  <c r="AB8" i="2"/>
  <c r="X8" i="2"/>
  <c r="Z6" i="2"/>
  <c r="V6" i="2"/>
  <c r="V14" i="2"/>
  <c r="Z14" i="2"/>
  <c r="X14" i="2"/>
  <c r="AB14" i="2"/>
  <c r="M7" i="2" l="1"/>
  <c r="H10" i="2"/>
  <c r="AD10" i="2" s="1"/>
  <c r="O10" i="2" s="1"/>
  <c r="Z12" i="2"/>
  <c r="H11" i="2"/>
  <c r="AD11" i="2" s="1"/>
  <c r="O11" i="2" s="1"/>
  <c r="H12" i="2"/>
  <c r="AD12" i="2" s="1"/>
  <c r="O12" i="2" s="1"/>
  <c r="H13" i="2"/>
  <c r="AD13" i="2" s="1"/>
  <c r="O13" i="2" s="1"/>
  <c r="Z13" i="2"/>
  <c r="AB11" i="2"/>
  <c r="AC5" i="2"/>
  <c r="V11" i="2"/>
  <c r="AB12" i="2"/>
  <c r="Y5" i="2"/>
  <c r="X13" i="2"/>
  <c r="Z11" i="2"/>
  <c r="K15" i="2"/>
  <c r="AA10" i="2"/>
  <c r="J15" i="2"/>
  <c r="U5" i="2"/>
  <c r="M5" i="2" s="1"/>
  <c r="AD7" i="2"/>
  <c r="O7" i="2" s="1"/>
  <c r="Y7" i="2"/>
  <c r="AB10" i="2"/>
  <c r="X10" i="2"/>
  <c r="Y2" i="2"/>
  <c r="AD2" i="2"/>
  <c r="O2" i="2" s="1"/>
  <c r="Y4" i="2"/>
  <c r="AD4" i="2"/>
  <c r="O4" i="2" s="1"/>
  <c r="Y3" i="2"/>
  <c r="AD3" i="2"/>
  <c r="O3" i="2" s="1"/>
  <c r="U8" i="2"/>
  <c r="M8" i="2" s="1"/>
  <c r="AD8" i="2"/>
  <c r="O8" i="2" s="1"/>
  <c r="AD9" i="2"/>
  <c r="O9" i="2" s="1"/>
  <c r="U3" i="2"/>
  <c r="M3" i="2" s="1"/>
  <c r="I15" i="2"/>
  <c r="Z10" i="2"/>
  <c r="U4" i="2"/>
  <c r="M4" i="2" s="1"/>
  <c r="U2" i="2"/>
  <c r="M2" i="2" s="1"/>
  <c r="AC6" i="2"/>
  <c r="Y9" i="2"/>
  <c r="U9" i="2"/>
  <c r="M9" i="2" s="1"/>
  <c r="U6" i="2"/>
  <c r="M6" i="2" s="1"/>
  <c r="Y8" i="2"/>
  <c r="Y6" i="2"/>
  <c r="Y14" i="2"/>
  <c r="U14" i="2"/>
  <c r="M14" i="2" s="1"/>
  <c r="U11" i="2"/>
  <c r="Y11" i="2" l="1"/>
  <c r="AC13" i="2"/>
  <c r="AC10" i="2"/>
  <c r="AC9" i="2"/>
  <c r="N9" i="2" s="1"/>
  <c r="AC12" i="2"/>
  <c r="AC4" i="2"/>
  <c r="N4" i="2" s="1"/>
  <c r="AC7" i="2"/>
  <c r="N7" i="2" s="1"/>
  <c r="AC3" i="2"/>
  <c r="N3" i="2" s="1"/>
  <c r="U12" i="2"/>
  <c r="M12" i="2" s="1"/>
  <c r="Y12" i="2"/>
  <c r="M11" i="2"/>
  <c r="N5" i="2"/>
  <c r="U13" i="2"/>
  <c r="M13" i="2" s="1"/>
  <c r="Y13" i="2"/>
  <c r="U10" i="2"/>
  <c r="M10" i="2" s="1"/>
  <c r="H15" i="2"/>
  <c r="Y10" i="2"/>
  <c r="P6" i="2"/>
  <c r="AC8" i="2"/>
  <c r="N8" i="2" s="1"/>
  <c r="P2" i="2"/>
  <c r="N6" i="2"/>
  <c r="AC14" i="2"/>
  <c r="N14" i="2" s="1"/>
  <c r="AC11" i="2"/>
  <c r="P5" i="2"/>
  <c r="N11" i="2" l="1"/>
  <c r="P9" i="2"/>
  <c r="P3" i="2"/>
  <c r="P7" i="2"/>
  <c r="P4" i="2"/>
  <c r="N12" i="2"/>
  <c r="N13" i="2"/>
  <c r="M15" i="2"/>
  <c r="B16" i="4" s="1"/>
  <c r="N10" i="2"/>
  <c r="AC2" i="2"/>
  <c r="N2" i="2" s="1"/>
  <c r="P8" i="2"/>
  <c r="P11" i="2"/>
  <c r="P14" i="2"/>
  <c r="P10" i="2"/>
  <c r="P12" i="2"/>
  <c r="P13" i="2"/>
  <c r="O15" i="2"/>
  <c r="N15" i="2" l="1"/>
  <c r="B15" i="4" s="1"/>
  <c r="B17" i="4" s="1"/>
  <c r="P15" i="2"/>
  <c r="Q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<sst xmlns="http://schemas.openxmlformats.org/spreadsheetml/2006/main" count="150" uniqueCount="112">
  <si>
    <t>JLeeBly's Potentially Accurate Deadball Season Simulation Model</t>
  </si>
  <si>
    <t>This spreadsheet is an attempt to simulate and entire season of games for a Deadball team.</t>
  </si>
  <si>
    <t>Settings</t>
  </si>
  <si>
    <t>Games per Season</t>
  </si>
  <si>
    <t>Player Name</t>
  </si>
  <si>
    <t>Position</t>
  </si>
  <si>
    <t>BT</t>
  </si>
  <si>
    <t>OBT</t>
  </si>
  <si>
    <t>Perks</t>
  </si>
  <si>
    <t>PA</t>
  </si>
  <si>
    <t>Singles (1B)</t>
  </si>
  <si>
    <t>Doubles (2B)</t>
  </si>
  <si>
    <t>Triples (3B)</t>
  </si>
  <si>
    <t>Homeruns (HR)</t>
  </si>
  <si>
    <t>Walks (BB)</t>
  </si>
  <si>
    <t>Runs Batted In (RBI)</t>
  </si>
  <si>
    <t>Runs (R)</t>
  </si>
  <si>
    <t>Stolen Bases (SB)</t>
  </si>
  <si>
    <t>Caught Stealing (CS)</t>
  </si>
  <si>
    <t>Errors</t>
  </si>
  <si>
    <t>Fielder Position</t>
  </si>
  <si>
    <t>Lineup Position</t>
  </si>
  <si>
    <t>Bench</t>
  </si>
  <si>
    <t>C</t>
  </si>
  <si>
    <t>1B</t>
  </si>
  <si>
    <t>DH</t>
  </si>
  <si>
    <t>RF</t>
  </si>
  <si>
    <t>3B</t>
  </si>
  <si>
    <t>LF</t>
  </si>
  <si>
    <t>CF</t>
  </si>
  <si>
    <t>SS</t>
  </si>
  <si>
    <t>2B</t>
  </si>
  <si>
    <t>INF</t>
  </si>
  <si>
    <t>OF</t>
  </si>
  <si>
    <t>Starter Attendance</t>
  </si>
  <si>
    <t>Total Games in the regular season</t>
  </si>
  <si>
    <t>How many games the normal starter will be expected to start (Default 80%)</t>
  </si>
  <si>
    <t>GS</t>
  </si>
  <si>
    <t>PA/GS</t>
  </si>
  <si>
    <t>PADiff/G</t>
  </si>
  <si>
    <t>PADiff/600</t>
  </si>
  <si>
    <t>Diff</t>
  </si>
  <si>
    <t>–</t>
  </si>
  <si>
    <t>Total</t>
  </si>
  <si>
    <t>Games</t>
  </si>
  <si>
    <t>StdDev</t>
  </si>
  <si>
    <t>Notes</t>
  </si>
  <si>
    <t>Ottoneu 101: Plate Appearances by Lineup Spot</t>
  </si>
  <si>
    <t>Plate appearance calcuations are made with help using data presented by Joe Douglas</t>
  </si>
  <si>
    <t>Crits</t>
  </si>
  <si>
    <t>Hits w/o Def - Crit</t>
  </si>
  <si>
    <t>Run Coefficient Table</t>
  </si>
  <si>
    <t>Activity</t>
  </si>
  <si>
    <t>Coefficient</t>
  </si>
  <si>
    <t>Run and RBI Coefficient calculations based off data from 2022 MLB Season retrieved from MLB Statcast</t>
  </si>
  <si>
    <t>RBI Coefficient Table</t>
  </si>
  <si>
    <t>The RBI Coeff Table for Triples makes no sense, but somehow improves the R^2 value for the regression</t>
  </si>
  <si>
    <t>Singles-RBI</t>
  </si>
  <si>
    <t>Doubles-RBI</t>
  </si>
  <si>
    <t>Triples-RBI</t>
  </si>
  <si>
    <t>HR-RBI</t>
  </si>
  <si>
    <t>1B_Runs</t>
  </si>
  <si>
    <t>2B_Runs</t>
  </si>
  <si>
    <t>3B_Runs</t>
  </si>
  <si>
    <t>HR_Runs</t>
  </si>
  <si>
    <t>SB_Runs</t>
  </si>
  <si>
    <t>Managerial Daring</t>
  </si>
  <si>
    <t>2B Steal Attempts</t>
  </si>
  <si>
    <t>p(Def Roll Err)</t>
  </si>
  <si>
    <t>p(Non-Hit Err)</t>
  </si>
  <si>
    <t>p(Err)</t>
  </si>
  <si>
    <t>Visting PAs per Game</t>
  </si>
  <si>
    <t>Average Plate Appearances per Game for Visiting Team (Default: 38)</t>
  </si>
  <si>
    <t>Not Accounted For:</t>
  </si>
  <si>
    <t>Editable Fields</t>
  </si>
  <si>
    <t>🔒 Don't Touch</t>
  </si>
  <si>
    <t>🔒 Really, REALLY Don't Touch</t>
  </si>
  <si>
    <t>Diagnostics</t>
  </si>
  <si>
    <t>Total Runs</t>
  </si>
  <si>
    <t>Total RBIs</t>
  </si>
  <si>
    <t>Current Ratio</t>
  </si>
  <si>
    <t>Target Ratio</t>
  </si>
  <si>
    <t>Default Coeff</t>
  </si>
  <si>
    <t>Default SD</t>
  </si>
  <si>
    <t>Informational</t>
  </si>
  <si>
    <t>Team's Average OBT 🔒</t>
  </si>
  <si>
    <t>Team's Average PA 🔒</t>
  </si>
  <si>
    <t>Opp. Team's Average OBT 🔒</t>
  </si>
  <si>
    <t>Team's Delta PA 🔒</t>
  </si>
  <si>
    <t>ΔPA/GS</t>
  </si>
  <si>
    <t>CS PA Reduction 🔒</t>
  </si>
  <si>
    <t>Power</t>
  </si>
  <si>
    <t>Contact+</t>
  </si>
  <si>
    <t>Contact-</t>
  </si>
  <si>
    <t>Defense</t>
  </si>
  <si>
    <t>Speed_SB</t>
  </si>
  <si>
    <t>Speed_Daring</t>
  </si>
  <si>
    <t>Managerial Daring (S+)</t>
  </si>
  <si>
    <t>Managerial Daring (S-)</t>
  </si>
  <si>
    <t>Daring rating (1-19) for manager (dictates steal attempts for non-S players)</t>
  </si>
  <si>
    <t>Daring rating (1-19) for manager when runner on base is S+</t>
  </si>
  <si>
    <t>Daring rating (1-19) for manager when runner on base is S-</t>
  </si>
  <si>
    <t>Speed_Hitting</t>
  </si>
  <si>
    <t>Toughness</t>
  </si>
  <si>
    <t>Fielding</t>
  </si>
  <si>
    <t>?</t>
  </si>
  <si>
    <t>Calculated Average OBT of your team</t>
  </si>
  <si>
    <t>Calculated Average OBT of opposing team based on Visiting Pas</t>
  </si>
  <si>
    <t>Calculated Average PA of your team based on average OBT</t>
  </si>
  <si>
    <t>Average reduction of per-game plate appearances due to failed steals</t>
  </si>
  <si>
    <t>Calculated change of PA of your team compared to average</t>
  </si>
  <si>
    <t>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</si>
</sst>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33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  <xf numFmtId="0" fontId="5" fillId="6" borderId="1" applyNumberFormat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2" xfId="0" applyBorder="1"/>
    <xf numFmtId="0" fontId="3" fillId="0" borderId="0" xfId="2"/>
    <xf numFmtId="0" fontId="0" fillId="0" borderId="0" xfId="0" applyAlignment="1">
      <alignment horizontal="center" vertical="center"/>
    </xf>
    <xf numFmtId="0" fontId="1" fillId="2" borderId="1" xfId="1"/>
    <xf numFmtId="9" fontId="1" fillId="2" borderId="1" xfId="1" applyNumberFormat="1"/>
    <xf numFmtId="0" fontId="4" fillId="0" borderId="2" xfId="0" applyFont="1" applyBorder="1"/>
    <xf numFmtId="0" fontId="4" fillId="0" borderId="0" xfId="0" applyFont="1"/>
    <xf numFmtId="0" fontId="0" fillId="5" borderId="0" xfId="0" applyFill="1" applyAlignment="1">
      <alignment horizontal="center" vertical="center"/>
    </xf>
    <xf numFmtId="2" fontId="0" fillId="0" borderId="0" xfId="0" applyNumberFormat="1"/>
    <xf numFmtId="2" fontId="5" fillId="6" borderId="1" xfId="3" applyNumberFormat="1"/>
    <xf numFmtId="0" fontId="6" fillId="0" borderId="0" xfId="0" applyFont="1"/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</cellXfs>
  <cellStyles count="4">
    <cellStyle name="Calculation" xfId="3" builtinId="22"/>
    <cellStyle name="Hyperlink" xfId="2" builtinId="8"/>
    <cellStyle name="Input" xfId="1" builtinId="20"/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 style="medium">
          <color auto="1"/>
        </left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3E983E-C9CE-4D2E-8D2C-D8C9A639A629}" name="Table3" displayName="Table3" ref="A1:AN15" totalsRowCount="1">
  <autoFilter ref="A1:AN14" xr:uid="{5C3E983E-C9CE-4D2E-8D2C-D8C9A639A629}"/>
  <tableColumns count="40">
    <tableColumn id="1" xr3:uid="{2EBFE27B-ACB1-414C-B408-E5E185769390}" name="Lineup Position" totalsRowLabel="Total" dataDxfId="59" totalsRowDxfId="24"/>
    <tableColumn id="2" xr3:uid="{08420025-6C89-4611-87F8-04CA912D72BB}" name="Player Name"/>
    <tableColumn id="3" xr3:uid="{FC00919D-D1F8-4411-9625-9FA46E38AAC4}" name="Fielder Position"/>
    <tableColumn id="4" xr3:uid="{FBAA6BFF-8ABF-4ADC-9A97-9A225D440E77}" name="BT"/>
    <tableColumn id="5" xr3:uid="{AEEF8E42-92D3-4594-875F-6F5CCC96DFE7}" name="OBT"/>
    <tableColumn id="6" xr3:uid="{8D1B1058-0D1A-4B2D-B077-BAE9E7099675}" name="Perks"/>
    <tableColumn id="8" xr3:uid="{9D6B05C8-C3D0-472A-84B1-2C8C1C58B69A}" name="PA" totalsRowFunction="sum" dataDxfId="58" totalsRowDxfId="23">
      <calculatedColumnFormula>ROUND((_xlfn.NORM.INV(RAND(),_xlfn.XLOOKUP(Table3[[#This Row],[Lineup Position]],Table1[Lineup Position],Table1[ΔPA/GS]),_xlfn.XLOOKUP(Table3[[#This Row],[Lineup Position]],Table1[Lineup Position],Table1[StdDev])))*Table3[[#This Row],[Games]],0)</calculatedColumnFormula>
    </tableColumn>
    <tableColumn id="9" xr3:uid="{6719B1F2-BB89-4D6F-A1AA-A604EF7F3B20}" name="Singles (1B)" totalsRowFunction="sum" dataDxfId="57">
      <calculatedColumnFormula>SUM(Table3[[#This Row],[Hits w/o Def - Crit]:[Crits]])-SUM(Table3[[#This Row],[Doubles (2B)]:[Homeruns (HR)]])</calculatedColumnFormula>
    </tableColumn>
    <tableColumn id="10" xr3:uid="{BB8C4FB8-27C6-4417-9DAA-D399767FA29E}" name="Doubles (2B)" totalsRowFunction="sum" dataDxfId="56">
      <calculatedColumnFormula>_xlfn.BINOM.INV(Table3[[#This Row],[Hits w/o Def - Crit]],0.2+Table3[[#This Row],[Contact+]]+Table3[[#This Row],[Speed_Hitting]],RAND())+_xlfn.BINOM.INV(Table3[[#This Row],[Crits]],0.7,RAND())</calculatedColumnFormula>
    </tableColumn>
    <tableColumn id="11" xr3:uid="{0146BC3E-5160-4484-9611-AB3E8B9C4ABE}" name="Triples (3B)" totalsRowFunction="sum" dataDxfId="55">
      <calculatedColumnFormula>_xlfn.BINOM.INV(Table3[[#This Row],[Crits]],0.2+Table3[[#This Row],[Contact+]]+Table3[[#This Row],[Speed_Hitting]],RAND())+IF(Table3[[#This Row],[Speed_Hitting]]&gt;0,_xlfn.BINOM.INV(Table3[[#This Row],[Hits w/o Def - Crit]],Table3[[#This Row],[Speed_Hitting]],RAND()),0)</calculatedColumnFormula>
    </tableColumn>
    <tableColumn id="12" xr3:uid="{3431BE43-E922-4BBF-8A5F-5D1FD70B316B}" name="Homeruns (HR)" totalsRowFunction="sum" dataDxfId="54">
      <calculatedColumnFormula>IF(Table3[[#This Row],[Power]]&lt;=-0.1,0,(_xlfn.BINOM.INV(Table3[[#This Row],[Hits w/o Def - Crit]],0.1+Table3[[#This Row],[Power]],RAND())+(_xlfn.BINOM.INV(Table3[[#This Row],[Crits]],0.1+Table3[[#This Row],[Power]]+Table3[[#This Row],[Speed_Hitting]],RAND()))))</calculatedColumnFormula>
    </tableColumn>
    <tableColumn id="13" xr3:uid="{95198CCF-F1C7-4010-ADBE-A5C2E0205EEA}" name="Walks (BB)" totalsRowFunction="sum" dataDxfId="53">
      <calculatedColumnFormula>_xlfn.BINOM.INV(Table3[[#This Row],[PA]],((Table3[[#This Row],[OBT]]-Table3[[#This Row],[BT]])/100),RAND())</calculatedColumnFormula>
    </tableColumn>
    <tableColumn id="14" xr3:uid="{1EB7A98E-063A-4033-BF5F-6900D8F09DF5}" name="Runs Batted In (RBI)" totalsRowFunction="sum" dataDxfId="52">
      <calculatedColumnFormula>ROUND(SUM(Table3[[#This Row],[Singles-RBI]:[HR-RBI]]),0)</calculatedColumnFormula>
    </tableColumn>
    <tableColumn id="15" xr3:uid="{7874B4AB-8AA6-43BC-B3B5-913452466ACB}" name="Runs (R)" totalsRowFunction="sum" dataDxfId="51">
      <calculatedColumnFormula>ROUND(SUM(Table3[[#This Row],[1B_Runs]:[SB_Runs]]),0)</calculatedColumnFormula>
    </tableColumn>
    <tableColumn id="16" xr3:uid="{D0AFAEDE-1C0B-4C83-BF50-1DFFD74112A4}" name="Stolen Bases (SB)" totalsRowFunction="sum" dataDxfId="50">
      <calculatedColumnFormula>_xlfn.BINOM.INV(Table3[[#This Row],[2B Steal Attempts]],(5/8)+Table3[[#This Row],[Speed_SB]],RAND())</calculatedColumnFormula>
    </tableColumn>
    <tableColumn id="17" xr3:uid="{9CBE0B19-CE6A-4309-B840-26B8CA5ADC37}" name="Caught Stealing (CS)" totalsRowFunction="sum" dataDxfId="49">
      <calculatedColumnFormula>Table3[[#This Row],[2B Steal Attempts]]-Table3[[#This Row],[Stolen Bases (SB)]]</calculatedColumnFormula>
    </tableColumn>
    <tableColumn id="18" xr3:uid="{56D2B105-74A7-4A8E-9DD4-F8CC6843D758}" name="Errors" totalsRowFunction="sum" dataDxfId="48">
      <calculatedColumnFormula>_xlfn.BINOM.INV((Table3[[#This Row],[Games]]*VisitingPAs*Table3[[#This Row],[Fielding]]),Table3[[#This Row],[p(Err)]]*Table3[[#This Row],[Defense]],RAND())</calculatedColumnFormula>
    </tableColumn>
    <tableColumn id="19" xr3:uid="{36AA436D-4F3F-41B1-A20F-19A2EF6EF8E2}" name="Games" dataDxfId="47" totalsRowDxfId="22"/>
    <tableColumn id="20" xr3:uid="{374930AA-1732-48D1-AE6D-60FDE0324EE3}" name="Hits w/o Def - Crit" dataDxfId="46" totalsRowDxfId="21">
      <calculatedColumnFormula>_xlfn.BINOM.INV(Table3[[#This Row],[PA]],(Table3[[#This Row],[BT]]/100-0.045+Table3[[#This Row],[Contact-]]),RAND())-Table3[[#This Row],[Crits]]</calculatedColumnFormula>
    </tableColumn>
    <tableColumn id="21" xr3:uid="{4F14282C-0B8C-4E8B-80C1-BCFB200C7F6F}" name="Crits" dataDxfId="45" totalsRowDxfId="20">
      <calculatedColumnFormula>_xlfn.BINOM.INV(Table3[[#This Row],[PA]],0.04,RAND())</calculatedColumnFormula>
    </tableColumn>
    <tableColumn id="22" xr3:uid="{A670841B-6E94-4F79-9753-420F1F8F1804}" name="Singles-RBI" dataDxfId="44" totalsRowDxfId="19">
      <calculatedColumnFormula>(_xlfn.NORM.INV(RAND(),'Run and RBI Coeff'!$I$3,'Run and RBI Coeff'!$J$3))*Table3[[#This Row],[Singles (1B)]]</calculatedColumnFormula>
    </tableColumn>
    <tableColumn id="23" xr3:uid="{6E3AC831-D9C0-493D-A9F8-B2B5168A354F}" name="Doubles-RBI" dataDxfId="43" totalsRowDxfId="18">
      <calculatedColumnFormula>(_xlfn.NORM.INV(RAND(),'Run and RBI Coeff'!$I$4,'Run and RBI Coeff'!$J$4))*Table3[[#This Row],[Doubles (2B)]]</calculatedColumnFormula>
    </tableColumn>
    <tableColumn id="24" xr3:uid="{724A1905-7CFD-4DC1-BFC7-81FEFA3A548E}" name="Triples-RBI" dataDxfId="42" totalsRowDxfId="17">
      <calculatedColumnFormula>MAX((_xlfn.NORM.INV(RAND(),'Run and RBI Coeff'!$I$5,'Run and RBI Coeff'!$J$5))*Table3[[#This Row],[Triples (3B)]],0)</calculatedColumnFormula>
    </tableColumn>
    <tableColumn id="25" xr3:uid="{915A27C4-3E66-4461-93D0-C9D029F88047}" name="HR-RBI" dataDxfId="41" totalsRowDxfId="16">
      <calculatedColumnFormula>(_xlfn.NORM.INV(RAND(),'Run and RBI Coeff'!$I$6,'Run and RBI Coeff'!$J$6))*Table3[[#This Row],[Homeruns (HR)]]</calculatedColumnFormula>
    </tableColumn>
    <tableColumn id="26" xr3:uid="{AF88E2D1-3694-49BD-BA22-1462DB418E6B}" name="1B_Runs" dataDxfId="40" totalsRowDxfId="15">
      <calculatedColumnFormula>_xlfn.NORM.INV(RAND(),'Run and RBI Coeff'!$B$3,'Run and RBI Coeff'!$C$3)*Table3[[#This Row],[Singles (1B)]]</calculatedColumnFormula>
    </tableColumn>
    <tableColumn id="27" xr3:uid="{568ED5FC-1616-46D4-81BF-95E40BBDEFD5}" name="2B_Runs" dataDxfId="39" totalsRowDxfId="14">
      <calculatedColumnFormula>_xlfn.NORM.INV(RAND(),'Run and RBI Coeff'!$B$4,'Run and RBI Coeff'!$C$4)*Table3[[#This Row],[Doubles (2B)]]</calculatedColumnFormula>
    </tableColumn>
    <tableColumn id="28" xr3:uid="{C19FC677-D54A-4775-A880-05BB76B94309}" name="3B_Runs" dataDxfId="38" totalsRowDxfId="13">
      <calculatedColumnFormula>_xlfn.NORM.INV(RAND(),'Run and RBI Coeff'!$B$5,'Run and RBI Coeff'!$C$5)*Table3[[#This Row],[Triples (3B)]]</calculatedColumnFormula>
    </tableColumn>
    <tableColumn id="29" xr3:uid="{BB98C015-F25B-42BF-B483-08F503E79331}" name="HR_Runs" dataDxfId="37" totalsRowDxfId="12">
      <calculatedColumnFormula>_xlfn.NORM.INV(RAND(),'Run and RBI Coeff'!$B$6,'Run and RBI Coeff'!$C$6)*Table3[[#This Row],[Homeruns (HR)]]</calculatedColumnFormula>
    </tableColumn>
    <tableColumn id="30" xr3:uid="{2D9569C4-E1B2-4DB3-B2F7-8252994F83A5}" name="SB_Runs" dataDxfId="36" totalsRowDxfId="11">
      <calculatedColumnFormula>_xlfn.NORM.INV(RAND(),'Run and RBI Coeff'!$B$7,'Run and RBI Coeff'!$C$7)*Table3[[#This Row],[Stolen Bases (SB)]]</calculatedColumnFormula>
    </tableColumn>
    <tableColumn id="31" xr3:uid="{FAAE820C-B83E-4D3C-852D-9C6E8724AE80}" name="2B Steal Attempts" dataDxfId="35" totalsRowDxfId="10">
      <calculatedColumnFormula>ROUND(((Table3[[#This Row],[Speed_Daring]]*5/100))*(Table3[[#This Row],[Singles (1B)]]+Table3[[#This Row],[Walks (BB)]]),0)</calculatedColumnFormula>
    </tableColumn>
    <tableColumn id="32" xr3:uid="{E5F32E4E-0D6D-4A56-921C-D66A3E34CD87}" name="p(Err)" dataDxfId="34" totalsRowDxfId="9">
      <calculatedColumnFormula array="1">_xlfn.XLOOKUP(Table3[[#This Row],[Fielder Position]],Table6[[#All],[Position]],Table6[[#All],[p(Def Roll Err)]])+_xlfn.XLOOKUP(Table3[[#This Row],[Fielder Position]],Table6[[#All],[Position]],Table6[[#All],[p(Non-Hit Err)]])</calculatedColumnFormula>
    </tableColumn>
    <tableColumn id="33" xr3:uid="{11160A21-1181-4312-9159-AAA79E1222EE}" name="Power" dataDxfId="33" totalsRowDxfId="8">
      <calculatedColumnFormula array="1">_xlfn.IFS(ISNUMBER(FIND("P--",Table3[[#This Row],[Perks]])),-0.1,ISNUMBER(FIND("P-",Table3[[#This Row],[Perks]])),-0.05,ISNUMBER(FIND("P++",Table3[[#This Row],[Perks]])),0.1,ISNUMBER(FIND("P+",Table3[[#This Row],[Perks]])),0.05,0=0,0)</calculatedColumnFormula>
    </tableColumn>
    <tableColumn id="35" xr3:uid="{1D963382-5FE5-41E3-8197-42F57430F4B7}" name="Contact+" dataDxfId="32" totalsRowDxfId="7">
      <calculatedColumnFormula>IF(ISNUMBER(FIND("C+",Table3[[#This Row],[Perks]])),0.1,0)</calculatedColumnFormula>
    </tableColumn>
    <tableColumn id="36" xr3:uid="{31954901-D09D-4CF8-A83D-57DFC35D1FC5}" name="Contact-" dataDxfId="31" totalsRowDxfId="6">
      <calculatedColumnFormula>IF(ISNUMBER(FIND("C-",Table3[[#This Row],[Perks]])),(-0.03/4),0)</calculatedColumnFormula>
    </tableColumn>
    <tableColumn id="37" xr3:uid="{E013A7CD-CE72-43DA-A3FF-D5586DBEF2C2}" name="Defense" dataDxfId="30" totalsRowDxfId="5">
      <calculatedColumnFormula array="1">_xlfn.IFS(ISNUMBER(FIND("D-",Table3[[#This Row],[Perks]])),1.5,ISNUMBER(FIND("D+",Table3[[#This Row],[Perks]])),0.5,0=0,1)</calculatedColumnFormula>
    </tableColumn>
    <tableColumn id="38" xr3:uid="{9559A1DA-390C-4578-AE52-E7D86468151C}" name="Speed_SB" dataDxfId="29" totalsRowDxfId="4">
      <calculatedColumnFormula array="1">_xlfn.IFS(ISNUMBER(FIND("S-",Table3[[#This Row],[Perks]])),(-2/8),ISNUMBER(FIND("S+",Table3[[#This Row],[Perks]])),(1/8),0=0,0)</calculatedColumnFormula>
    </tableColumn>
    <tableColumn id="40" xr3:uid="{75AED556-D015-49F9-BCBF-FBF03B78FDF0}" name="Speed_Daring" dataDxfId="28" totalsRowDxfId="3">
      <calculatedColumnFormula array="1">_xlfn.IFS(ISNUMBER(FIND("S-",Table3[[#This Row],[Perks]])),ManagerialDaringSMinus,ISNUMBER(FIND("S+",Table3[[#This Row],[Perks]])),ManagerialDaringSPlus,0=0,ManagerialDaring)</calculatedColumnFormula>
    </tableColumn>
    <tableColumn id="41" xr3:uid="{7A9E9349-E218-41ED-AD88-AB8F1FE5D6A6}" name="Speed_Hitting" dataDxfId="27" totalsRowDxfId="2">
      <calculatedColumnFormula>IF(ISNUMBER(FIND("S+",Table3[[#This Row],[Perks]])),0.05,0)</calculatedColumnFormula>
    </tableColumn>
    <tableColumn id="42" xr3:uid="{FDABDADC-73D0-4ABF-B09A-A78B185ABB53}" name="Toughness" dataDxfId="26" totalsRowDxfId="1">
      <calculatedColumnFormula>IF(ISNUMBER(FIND("T+",Table3[[#This Row],[Perks]])),TRUE,FALSE)</calculatedColumnFormula>
    </tableColumn>
    <tableColumn id="43" xr3:uid="{156CE911-8BEE-4E96-92D0-B799715CDE3D}" name="Fielding" dataDxfId="25" totalsRowDxfId="0">
      <calculatedColumnFormula>IF(ISNUMBER((FIND("DH",Table3[[#This Row],[Fielder Position]]))),1-StarterAttendance,1)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DFC37-29A0-4C6F-B176-CB438F20D17E}" name="Table1" displayName="Table1" ref="A1:I12" totalsRowShown="0">
  <autoFilter ref="A1:I12" xr:uid="{21ADFC37-29A0-4C6F-B176-CB438F20D17E}"/>
  <tableColumns count="9">
    <tableColumn id="1" xr3:uid="{31AE9660-E88A-4D56-BE24-7E203BDD2668}" name="Lineup Position"/>
    <tableColumn id="2" xr3:uid="{0C7B0F77-B22B-447E-A235-BA4981AF5EC1}" name="GS"/>
    <tableColumn id="3" xr3:uid="{A0B894A2-939B-4A39-957F-BB4EBF651696}" name="PA"/>
    <tableColumn id="4" xr3:uid="{78D5CDCC-3424-411B-96F1-288AE00F5C99}" name="PA/GS"/>
    <tableColumn id="9" xr3:uid="{9A722B0C-36DD-4B30-938B-02B1F5008C71}" name="ΔPA/GS" dataDxfId="60">
      <calculatedColumnFormula>Table1[[#This Row],[PA/GS]]+(TeamDeltaPA/9)</calculatedColumnFormula>
    </tableColumn>
    <tableColumn id="8" xr3:uid="{C250A51C-D399-4FA4-81FE-9758DB952E22}" name="StdDev"/>
    <tableColumn id="5" xr3:uid="{2CF4C0DF-B14F-4D98-91F3-BD18BFF671D8}" name="PADiff/G"/>
    <tableColumn id="6" xr3:uid="{C4CDF701-F943-4494-B389-C8039D66595E}" name="PADiff/600"/>
    <tableColumn id="7" xr3:uid="{5F9EF1D6-161A-4373-8EA5-EC35D2121FBF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BB3FA9-5BAA-4DA8-97C1-219EDC337B85}" name="Table4" displayName="Table4" ref="A2:C7" totalsRowShown="0">
  <autoFilter ref="A2:C7" xr:uid="{CABB3FA9-5BAA-4DA8-97C1-219EDC337B85}"/>
  <tableColumns count="3">
    <tableColumn id="1" xr3:uid="{F42A9D59-750A-4BC9-ADF2-EF3E34FEA6AC}" name="Activity"/>
    <tableColumn id="2" xr3:uid="{31DC9F6E-D5AA-4931-B38F-B403E3CF43B6}" name="Coefficient"/>
    <tableColumn id="3" xr3:uid="{A2DF2D4C-0568-42A2-AEF8-2D47D12A4180}" name="StdDev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7B701D-0482-4FE1-9629-DCD5D697058C}" name="Table5" displayName="Table5" ref="H2:J6" totalsRowShown="0">
  <autoFilter ref="H2:J6" xr:uid="{707B701D-0482-4FE1-9629-DCD5D697058C}"/>
  <tableColumns count="3">
    <tableColumn id="1" xr3:uid="{AB574D44-7070-41B3-A244-9DF85ED9B619}" name="Activity"/>
    <tableColumn id="2" xr3:uid="{58329B08-2003-4C3E-B1D6-F6BC9E2F70CE}" name="Coefficient"/>
    <tableColumn id="3" xr3:uid="{287BCEA7-6664-40E4-8AF4-9BC1B7664C9D}" name="StdDev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7BE84B-2982-4B0C-B1E5-2A6D88F0432B}" name="Table6" displayName="Table6" ref="A1:C12" totalsRowShown="0">
  <autoFilter ref="A1:C12" xr:uid="{D67BE84B-2982-4B0C-B1E5-2A6D88F0432B}"/>
  <tableColumns count="3">
    <tableColumn id="1" xr3:uid="{76DF9EBE-6AD7-4F21-9BC8-0579634FFCB5}" name="Position"/>
    <tableColumn id="2" xr3:uid="{539C5448-2BC9-43F4-8677-57FB03AE4B3F}" name="p(Def Roll Err)"/>
    <tableColumn id="3" xr3:uid="{ED0DF398-FC49-4DAC-A500-357025D32436}" name="p(Non-Hit Er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ntasy.fangraphs.com/buying-generic-plate-appearances-by-lineup-spo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E864-7920-4180-A341-94CCEAF0294D}">
  <dimension ref="A1:C27"/>
  <sheetViews>
    <sheetView tabSelected="1" workbookViewId="0">
      <selection activeCell="F25" sqref="F25"/>
    </sheetView>
  </sheetViews>
  <sheetFormatPr defaultRowHeight="15" x14ac:dyDescent="0.25"/>
  <cols>
    <col min="1" max="1" width="27" customWidth="1"/>
    <col min="2" max="2" width="12" customWidth="1"/>
    <col min="3" max="3" width="69.140625" bestFit="1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A5" s="1" t="s">
        <v>2</v>
      </c>
    </row>
    <row r="6" spans="1:3" x14ac:dyDescent="0.25">
      <c r="A6" t="s">
        <v>3</v>
      </c>
      <c r="B6" s="5">
        <v>18</v>
      </c>
      <c r="C6" t="s">
        <v>35</v>
      </c>
    </row>
    <row r="7" spans="1:3" x14ac:dyDescent="0.25">
      <c r="A7" t="s">
        <v>71</v>
      </c>
      <c r="B7" s="5">
        <v>38</v>
      </c>
      <c r="C7" t="s">
        <v>72</v>
      </c>
    </row>
    <row r="8" spans="1:3" x14ac:dyDescent="0.25">
      <c r="A8" t="s">
        <v>34</v>
      </c>
      <c r="B8" s="6">
        <v>0.8</v>
      </c>
      <c r="C8" t="s">
        <v>36</v>
      </c>
    </row>
    <row r="9" spans="1:3" x14ac:dyDescent="0.25">
      <c r="A9" t="s">
        <v>66</v>
      </c>
      <c r="B9" s="5">
        <v>8</v>
      </c>
      <c r="C9" t="s">
        <v>99</v>
      </c>
    </row>
    <row r="10" spans="1:3" x14ac:dyDescent="0.25">
      <c r="A10" t="s">
        <v>97</v>
      </c>
      <c r="B10" s="5">
        <v>16</v>
      </c>
      <c r="C10" t="s">
        <v>100</v>
      </c>
    </row>
    <row r="11" spans="1:3" x14ac:dyDescent="0.25">
      <c r="A11" t="s">
        <v>98</v>
      </c>
      <c r="B11" s="5">
        <v>1</v>
      </c>
      <c r="C11" t="s">
        <v>101</v>
      </c>
    </row>
    <row r="13" spans="1:3" x14ac:dyDescent="0.25">
      <c r="A13" s="1" t="s">
        <v>84</v>
      </c>
    </row>
    <row r="14" spans="1:3" x14ac:dyDescent="0.25">
      <c r="A14" t="s">
        <v>85</v>
      </c>
      <c r="B14" s="11">
        <f>SUMPRODUCT(Table3[[#Headers],[#Data],[OBT]],Table3[[#Headers],[#Data],[Games]])/(GamesPerSeason*8)</f>
        <v>37.504999999999995</v>
      </c>
      <c r="C14" t="s">
        <v>106</v>
      </c>
    </row>
    <row r="15" spans="1:3" x14ac:dyDescent="0.25">
      <c r="A15" t="s">
        <v>87</v>
      </c>
      <c r="B15" s="11">
        <f>(1-(27/VisitingPAs))*100</f>
        <v>28.947368421052634</v>
      </c>
      <c r="C15" t="s">
        <v>107</v>
      </c>
    </row>
    <row r="16" spans="1:3" x14ac:dyDescent="0.25">
      <c r="A16" t="s">
        <v>86</v>
      </c>
      <c r="B16" s="11">
        <f>27/((100-B14-4.5)/100)</f>
        <v>46.555737563583058</v>
      </c>
      <c r="C16" t="s">
        <v>108</v>
      </c>
    </row>
    <row r="17" spans="1:3" x14ac:dyDescent="0.25">
      <c r="A17" t="s">
        <v>90</v>
      </c>
      <c r="B17" s="11">
        <f>(TeamAveragePA-27)*0.7*(ManagerialDaring/20)*0.75</f>
        <v>4.106704888352442</v>
      </c>
      <c r="C17" t="s">
        <v>109</v>
      </c>
    </row>
    <row r="18" spans="1:3" x14ac:dyDescent="0.25">
      <c r="A18" t="s">
        <v>88</v>
      </c>
      <c r="B18" s="11">
        <f>B16-VisitingPAs-B17</f>
        <v>4.4490326752306162</v>
      </c>
      <c r="C18" t="s">
        <v>110</v>
      </c>
    </row>
    <row r="20" spans="1:3" x14ac:dyDescent="0.25">
      <c r="A20" s="1" t="s">
        <v>46</v>
      </c>
    </row>
    <row r="21" spans="1:3" x14ac:dyDescent="0.25">
      <c r="A21" t="s">
        <v>48</v>
      </c>
    </row>
    <row r="22" spans="1:3" x14ac:dyDescent="0.25">
      <c r="A22" s="3" t="s">
        <v>47</v>
      </c>
    </row>
    <row r="24" spans="1:3" x14ac:dyDescent="0.25">
      <c r="A24" t="s">
        <v>54</v>
      </c>
    </row>
    <row r="26" spans="1:3" x14ac:dyDescent="0.25">
      <c r="A26" t="s">
        <v>73</v>
      </c>
    </row>
    <row r="27" spans="1:3" x14ac:dyDescent="0.25">
      <c r="A27" t="s">
        <v>105</v>
      </c>
    </row>
  </sheetData>
  <hyperlinks>
    <hyperlink ref="A22" r:id="rId1" xr:uid="{A1A5CA54-3878-40B1-85DB-883B81CAEF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B66E-F779-47D6-B6C1-2A1DE312CFCA}">
  <dimension ref="A1:AN17"/>
  <sheetViews>
    <sheetView workbookViewId="0">
      <selection activeCell="O2" sqref="O2:O14"/>
    </sheetView>
  </sheetViews>
  <sheetFormatPr defaultRowHeight="15" x14ac:dyDescent="0.25"/>
  <cols>
    <col min="1" max="1" width="16.85546875" style="4" customWidth="1"/>
    <col min="2" max="2" width="16.28515625" bestFit="1" customWidth="1"/>
    <col min="3" max="3" width="17.140625" customWidth="1"/>
    <col min="4" max="4" width="5.28515625" customWidth="1"/>
    <col min="5" max="5" width="6.7109375" customWidth="1"/>
    <col min="6" max="6" width="8" customWidth="1"/>
    <col min="7" max="7" width="12" customWidth="1"/>
    <col min="8" max="8" width="13.42578125" customWidth="1"/>
    <col min="9" max="9" width="14.42578125" customWidth="1"/>
    <col min="10" max="10" width="13.140625" customWidth="1"/>
    <col min="11" max="11" width="16.5703125" customWidth="1"/>
    <col min="12" max="12" width="12.7109375" customWidth="1"/>
    <col min="13" max="13" width="20.5703125" customWidth="1"/>
    <col min="14" max="14" width="10.42578125" customWidth="1"/>
    <col min="15" max="15" width="18.28515625" customWidth="1"/>
    <col min="16" max="16" width="20.85546875" customWidth="1"/>
    <col min="17" max="17" width="8.28515625" customWidth="1"/>
    <col min="18" max="18" width="9.28515625" customWidth="1"/>
    <col min="19" max="19" width="19.140625" bestFit="1" customWidth="1"/>
    <col min="20" max="20" width="7.28515625" bestFit="1" customWidth="1"/>
  </cols>
  <sheetData>
    <row r="1" spans="1:40" x14ac:dyDescent="0.25">
      <c r="A1" s="4" t="s">
        <v>21</v>
      </c>
      <c r="B1" t="s">
        <v>4</v>
      </c>
      <c r="C1" t="s">
        <v>20</v>
      </c>
      <c r="D1" t="s">
        <v>6</v>
      </c>
      <c r="E1" t="s">
        <v>7</v>
      </c>
      <c r="F1" t="s">
        <v>8</v>
      </c>
      <c r="G1" s="2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s="7" t="s">
        <v>44</v>
      </c>
      <c r="S1" s="8" t="s">
        <v>50</v>
      </c>
      <c r="T1" s="8" t="s">
        <v>49</v>
      </c>
      <c r="U1" s="8" t="s">
        <v>57</v>
      </c>
      <c r="V1" s="8" t="s">
        <v>58</v>
      </c>
      <c r="W1" s="8" t="s">
        <v>59</v>
      </c>
      <c r="X1" s="8" t="s">
        <v>60</v>
      </c>
      <c r="Y1" s="8" t="s">
        <v>61</v>
      </c>
      <c r="Z1" s="8" t="s">
        <v>62</v>
      </c>
      <c r="AA1" s="8" t="s">
        <v>63</v>
      </c>
      <c r="AB1" s="8" t="s">
        <v>64</v>
      </c>
      <c r="AC1" s="8" t="s">
        <v>65</v>
      </c>
      <c r="AD1" s="8" t="s">
        <v>67</v>
      </c>
      <c r="AE1" s="8" t="s">
        <v>70</v>
      </c>
      <c r="AF1" s="8" t="s">
        <v>91</v>
      </c>
      <c r="AG1" s="8" t="s">
        <v>92</v>
      </c>
      <c r="AH1" s="8" t="s">
        <v>93</v>
      </c>
      <c r="AI1" s="8" t="s">
        <v>94</v>
      </c>
      <c r="AJ1" s="8" t="s">
        <v>95</v>
      </c>
      <c r="AK1" s="8" t="s">
        <v>96</v>
      </c>
      <c r="AL1" s="8" t="s">
        <v>102</v>
      </c>
      <c r="AM1" s="8" t="s">
        <v>103</v>
      </c>
      <c r="AN1" s="8" t="s">
        <v>104</v>
      </c>
    </row>
    <row r="2" spans="1:40" x14ac:dyDescent="0.25">
      <c r="A2" s="4">
        <v>1</v>
      </c>
      <c r="C2" t="s">
        <v>23</v>
      </c>
      <c r="D2" s="19">
        <v>23</v>
      </c>
      <c r="E2" s="20">
        <v>29</v>
      </c>
      <c r="F2" s="20"/>
      <c r="G2" s="2">
        <f ca="1">ROUND((_xlfn.NORM.INV(RAND(),_xlfn.XLOOKUP(Table3[[#This Row],[Lineup Position]],Table1[Lineup Position],Table1[ΔPA/GS]),_xlfn.XLOOKUP(Table3[[#This Row],[Lineup Position]],Table1[Lineup Position],Table1[StdDev])))*Table3[[#This Row],[Games]],0)</f>
        <v>73</v>
      </c>
      <c r="H2">
        <f ca="1">SUM(Table3[[#This Row],[Hits w/o Def - Crit]:[Crits]])-SUM(Table3[[#This Row],[Doubles (2B)]:[Homeruns (HR)]])</f>
        <v>6</v>
      </c>
      <c r="I2">
        <f ca="1">_xlfn.BINOM.INV(Table3[[#This Row],[Hits w/o Def - Crit]],0.2+Table3[[#This Row],[Contact+]]+Table3[[#This Row],[Speed_Hitting]],RAND())+_xlfn.BINOM.INV(Table3[[#This Row],[Crits]],0.7,RAND())</f>
        <v>3</v>
      </c>
      <c r="J2">
        <f ca="1">_xlfn.BINOM.INV(Table3[[#This Row],[Crits]],0.2+Table3[[#This Row],[Contact+]]+Table3[[#This Row],[Speed_Hitting]],RAND())+IF(Table3[[#This Row],[Speed_Hitting]]&gt;0,_xlfn.BINOM.INV(Table3[[#This Row],[Hits w/o Def - Crit]],Table3[[#This Row],[Speed_Hitting]],RAND()),0)</f>
        <v>0</v>
      </c>
      <c r="K2">
        <f ca="1">IF(Table3[[#This Row],[Power]]&lt;=-0.1,0,(_xlfn.BINOM.INV(Table3[[#This Row],[Hits w/o Def - Crit]],0.1+Table3[[#This Row],[Power]],RAND())+(_xlfn.BINOM.INV(Table3[[#This Row],[Crits]],0.1+Table3[[#This Row],[Power]]+Table3[[#This Row],[Speed_Hitting]],RAND()))))</f>
        <v>1</v>
      </c>
      <c r="L2">
        <f ca="1">_xlfn.BINOM.INV(Table3[[#This Row],[PA]],((Table3[[#This Row],[OBT]]-Table3[[#This Row],[BT]])/100),RAND())</f>
        <v>4</v>
      </c>
      <c r="M2">
        <f ca="1">ROUND(SUM(Table3[[#This Row],[Singles-RBI]:[HR-RBI]]),0)</f>
        <v>5</v>
      </c>
      <c r="N2">
        <f ca="1">ROUND(SUM(Table3[[#This Row],[1B_Runs]:[SB_Runs]]),0)</f>
        <v>5</v>
      </c>
      <c r="O2">
        <f ca="1">_xlfn.BINOM.INV(Table3[[#This Row],[2B Steal Attempts]],(5/8)+Table3[[#This Row],[Speed_SB]],RAND())</f>
        <v>3</v>
      </c>
      <c r="P2">
        <f ca="1">Table3[[#This Row],[2B Steal Attempts]]-Table3[[#This Row],[Stolen Bases (SB)]]</f>
        <v>1</v>
      </c>
      <c r="Q2">
        <f ca="1">_xlfn.BINOM.INV((Table3[[#This Row],[Games]]*VisitingPAs*Table3[[#This Row],[Fielding]]),Table3[[#This Row],[p(Err)]]*Table3[[#This Row],[Defense]],RAND())</f>
        <v>1</v>
      </c>
      <c r="R2" s="7">
        <f>IF(Table3[[#This Row],[Toughness]],((1+StarterAttendance)/2*GamesPerSeason),(StarterAttendance*GamesPerSeason))</f>
        <v>14.4</v>
      </c>
      <c r="S2" s="8">
        <f ca="1">_xlfn.BINOM.INV(Table3[[#This Row],[PA]],(Table3[[#This Row],[BT]]/100-0.045+Table3[[#This Row],[Contact-]]),RAND())-Table3[[#This Row],[Crits]]</f>
        <v>9</v>
      </c>
      <c r="T2" s="8">
        <f ca="1">_xlfn.BINOM.INV(Table3[[#This Row],[PA]],0.04,RAND())</f>
        <v>1</v>
      </c>
      <c r="U2" s="8">
        <f ca="1">(_xlfn.NORM.INV(RAND(),'Run and RBI Coeff'!$I$3,'Run and RBI Coeff'!$J$3))*Table3[[#This Row],[Singles (1B)]]</f>
        <v>1.5461129438293206</v>
      </c>
      <c r="V2" s="8">
        <f ca="1">(_xlfn.NORM.INV(RAND(),'Run and RBI Coeff'!$I$4,'Run and RBI Coeff'!$J$4))*Table3[[#This Row],[Doubles (2B)]]</f>
        <v>1.4730752689251745</v>
      </c>
      <c r="W2" s="8">
        <f ca="1">MAX((_xlfn.NORM.INV(RAND(),'Run and RBI Coeff'!$I$5,'Run and RBI Coeff'!$J$5))*Table3[[#This Row],[Triples (3B)]],0)</f>
        <v>0</v>
      </c>
      <c r="X2" s="8">
        <f ca="1">(_xlfn.NORM.INV(RAND(),'Run and RBI Coeff'!$I$6,'Run and RBI Coeff'!$J$6))*Table3[[#This Row],[Homeruns (HR)]]</f>
        <v>1.6878245718188025</v>
      </c>
      <c r="Y2" s="8">
        <f ca="1">_xlfn.NORM.INV(RAND(),'Run and RBI Coeff'!$B$3,'Run and RBI Coeff'!$C$3)*Table3[[#This Row],[Singles (1B)]]</f>
        <v>1.4704069546453016</v>
      </c>
      <c r="Z2" s="8">
        <f ca="1">_xlfn.NORM.INV(RAND(),'Run and RBI Coeff'!$B$4,'Run and RBI Coeff'!$C$4)*Table3[[#This Row],[Doubles (2B)]]</f>
        <v>1.703196891455018</v>
      </c>
      <c r="AA2" s="8">
        <f ca="1">_xlfn.NORM.INV(RAND(),'Run and RBI Coeff'!$B$5,'Run and RBI Coeff'!$C$5)*Table3[[#This Row],[Triples (3B)]]</f>
        <v>0</v>
      </c>
      <c r="AB2" s="8">
        <f ca="1">_xlfn.NORM.INV(RAND(),'Run and RBI Coeff'!$B$6,'Run and RBI Coeff'!$C$6)*Table3[[#This Row],[Homeruns (HR)]]</f>
        <v>0.99999999934184158</v>
      </c>
      <c r="AC2" s="8">
        <f ca="1">_xlfn.NORM.INV(RAND(),'Run and RBI Coeff'!$B$7,'Run and RBI Coeff'!$C$7)*Table3[[#This Row],[Stolen Bases (SB)]]</f>
        <v>1.2579416642244401</v>
      </c>
      <c r="AD2" s="8">
        <f ca="1">ROUND(((Table3[[#This Row],[Speed_Daring]]*5/100))*(Table3[[#This Row],[Singles (1B)]]+Table3[[#This Row],[Walks (BB)]]),0)</f>
        <v>4</v>
      </c>
      <c r="AE2" s="8" cm="1">
        <f t="array" ref="AE2">_xlfn.XLOOKUP(Table3[[#This Row],[Fielder Position]],Table6[[#All],[Position]],Table6[[#All],[p(Def Roll Err)]])+_xlfn.XLOOKUP(Table3[[#This Row],[Fielder Position]],Table6[[#All],[Position]],Table6[[#All],[p(Non-Hit Err)]])</f>
        <v>8.3333333333333339E-4</v>
      </c>
      <c r="AF2" s="8" cm="1">
        <f t="array" ref="AF2">_xlfn.IFS(ISNUMBER(FIND("P--",Table3[[#This Row],[Perks]])),-0.1,ISNUMBER(FIND("P-",Table3[[#This Row],[Perks]])),-0.05,ISNUMBER(FIND("P++",Table3[[#This Row],[Perks]])),0.1,ISNUMBER(FIND("P+",Table3[[#This Row],[Perks]])),0.05,0=0,0)</f>
        <v>0</v>
      </c>
      <c r="AG2" s="8">
        <f>IF(ISNUMBER(FIND("C+",Table3[[#This Row],[Perks]])),0.1,0)</f>
        <v>0</v>
      </c>
      <c r="AH2" s="8">
        <f>IF(ISNUMBER(FIND("C-",Table3[[#This Row],[Perks]])),(-0.03/4),0)</f>
        <v>0</v>
      </c>
      <c r="AI2" s="8" cm="1">
        <f t="array" ref="AI2">_xlfn.IFS(ISNUMBER(FIND("D-",Table3[[#This Row],[Perks]])),1.5,ISNUMBER(FIND("D+",Table3[[#This Row],[Perks]])),0.5,0=0,1)</f>
        <v>1</v>
      </c>
      <c r="AJ2" s="8" cm="1">
        <f t="array" ref="AJ2">_xlfn.IFS(ISNUMBER(FIND("S-",Table3[[#This Row],[Perks]])),(-2/8),ISNUMBER(FIND("S+",Table3[[#This Row],[Perks]])),(1/8),0=0,0)</f>
        <v>0</v>
      </c>
      <c r="AK2" s="8" cm="1">
        <f t="array" ref="AK2">_xlfn.IFS(ISNUMBER(FIND("S-",Table3[[#This Row],[Perks]])),ManagerialDaringSMinus,ISNUMBER(FIND("S+",Table3[[#This Row],[Perks]])),ManagerialDaringSPlus,0=0,ManagerialDaring)</f>
        <v>8</v>
      </c>
      <c r="AL2" s="8">
        <f>IF(ISNUMBER(FIND("S+",Table3[[#This Row],[Perks]])),0.05,0)</f>
        <v>0</v>
      </c>
      <c r="AM2" s="8" t="b">
        <f>IF(ISNUMBER(FIND("T+",Table3[[#This Row],[Perks]])),TRUE,FALSE)</f>
        <v>0</v>
      </c>
      <c r="AN2" s="8">
        <f>IF(ISNUMBER((FIND("DH",Table3[[#This Row],[Fielder Position]]))),1-StarterAttendance,1)</f>
        <v>1</v>
      </c>
    </row>
    <row r="3" spans="1:40" x14ac:dyDescent="0.25">
      <c r="A3" s="4">
        <v>2</v>
      </c>
      <c r="C3" t="s">
        <v>24</v>
      </c>
      <c r="D3" s="19">
        <v>33</v>
      </c>
      <c r="E3" s="20">
        <v>41</v>
      </c>
      <c r="F3" s="20"/>
      <c r="G3" s="2">
        <f ca="1">ROUND((_xlfn.NORM.INV(RAND(),_xlfn.XLOOKUP(Table3[[#This Row],[Lineup Position]],Table1[Lineup Position],Table1[ΔPA/GS]),_xlfn.XLOOKUP(Table3[[#This Row],[Lineup Position]],Table1[Lineup Position],Table1[StdDev])))*Table3[[#This Row],[Games]],0)</f>
        <v>73</v>
      </c>
      <c r="H3">
        <f ca="1">SUM(Table3[[#This Row],[Hits w/o Def - Crit]:[Crits]])-SUM(Table3[[#This Row],[Doubles (2B)]:[Homeruns (HR)]])</f>
        <v>10</v>
      </c>
      <c r="I3">
        <f ca="1">_xlfn.BINOM.INV(Table3[[#This Row],[Hits w/o Def - Crit]],0.2+Table3[[#This Row],[Contact+]]+Table3[[#This Row],[Speed_Hitting]],RAND())+_xlfn.BINOM.INV(Table3[[#This Row],[Crits]],0.7,RAND())</f>
        <v>6</v>
      </c>
      <c r="J3">
        <f ca="1">_xlfn.BINOM.INV(Table3[[#This Row],[Crits]],0.2+Table3[[#This Row],[Contact+]]+Table3[[#This Row],[Speed_Hitting]],RAND())+IF(Table3[[#This Row],[Speed_Hitting]]&gt;0,_xlfn.BINOM.INV(Table3[[#This Row],[Hits w/o Def - Crit]],Table3[[#This Row],[Speed_Hitting]],RAND()),0)</f>
        <v>0</v>
      </c>
      <c r="K3">
        <f ca="1">IF(Table3[[#This Row],[Power]]&lt;=-0.1,0,(_xlfn.BINOM.INV(Table3[[#This Row],[Hits w/o Def - Crit]],0.1+Table3[[#This Row],[Power]],RAND())+(_xlfn.BINOM.INV(Table3[[#This Row],[Crits]],0.1+Table3[[#This Row],[Power]]+Table3[[#This Row],[Speed_Hitting]],RAND()))))</f>
        <v>3</v>
      </c>
      <c r="L3">
        <f ca="1">_xlfn.BINOM.INV(Table3[[#This Row],[PA]],((Table3[[#This Row],[OBT]]-Table3[[#This Row],[BT]])/100),RAND())</f>
        <v>3</v>
      </c>
      <c r="M3">
        <f ca="1">ROUND(SUM(Table3[[#This Row],[Singles-RBI]:[HR-RBI]]),0)</f>
        <v>11</v>
      </c>
      <c r="N3">
        <f ca="1">ROUND(SUM(Table3[[#This Row],[1B_Runs]:[SB_Runs]]),0)</f>
        <v>10</v>
      </c>
      <c r="O3">
        <f ca="1">_xlfn.BINOM.INV(Table3[[#This Row],[2B Steal Attempts]],(5/8)+Table3[[#This Row],[Speed_SB]],RAND())</f>
        <v>3</v>
      </c>
      <c r="P3">
        <f ca="1">Table3[[#This Row],[2B Steal Attempts]]-Table3[[#This Row],[Stolen Bases (SB)]]</f>
        <v>2</v>
      </c>
      <c r="Q3">
        <f ca="1">_xlfn.BINOM.INV((Table3[[#This Row],[Games]]*VisitingPAs*Table3[[#This Row],[Fielding]]),Table3[[#This Row],[p(Err)]]*Table3[[#This Row],[Defense]],RAND())</f>
        <v>1</v>
      </c>
      <c r="R3" s="7">
        <f>IF(Table3[[#This Row],[Toughness]],((1+StarterAttendance)/2*GamesPerSeason),(StarterAttendance*GamesPerSeason))</f>
        <v>14.4</v>
      </c>
      <c r="S3" s="8">
        <f ca="1">_xlfn.BINOM.INV(Table3[[#This Row],[PA]],(Table3[[#This Row],[BT]]/100-0.045+Table3[[#This Row],[Contact-]]),RAND())-Table3[[#This Row],[Crits]]</f>
        <v>18</v>
      </c>
      <c r="T3" s="8">
        <f ca="1">_xlfn.BINOM.INV(Table3[[#This Row],[PA]],0.04,RAND())</f>
        <v>1</v>
      </c>
      <c r="U3" s="8">
        <f ca="1">(_xlfn.NORM.INV(RAND(),'Run and RBI Coeff'!$I$3,'Run and RBI Coeff'!$J$3))*Table3[[#This Row],[Singles (1B)]]</f>
        <v>2.7424793459247332</v>
      </c>
      <c r="V3" s="8">
        <f ca="1">(_xlfn.NORM.INV(RAND(),'Run and RBI Coeff'!$I$4,'Run and RBI Coeff'!$J$4))*Table3[[#This Row],[Doubles (2B)]]</f>
        <v>3.271868989375196</v>
      </c>
      <c r="W3" s="8">
        <f ca="1">MAX((_xlfn.NORM.INV(RAND(),'Run and RBI Coeff'!$I$5,'Run and RBI Coeff'!$J$5))*Table3[[#This Row],[Triples (3B)]],0)</f>
        <v>0</v>
      </c>
      <c r="X3" s="8">
        <f ca="1">(_xlfn.NORM.INV(RAND(),'Run and RBI Coeff'!$I$6,'Run and RBI Coeff'!$J$6))*Table3[[#This Row],[Homeruns (HR)]]</f>
        <v>4.9935362477235117</v>
      </c>
      <c r="Y3" s="8">
        <f ca="1">_xlfn.NORM.INV(RAND(),'Run and RBI Coeff'!$B$3,'Run and RBI Coeff'!$C$3)*Table3[[#This Row],[Singles (1B)]]</f>
        <v>2.5649761854535624</v>
      </c>
      <c r="Z3" s="8">
        <f ca="1">_xlfn.NORM.INV(RAND(),'Run and RBI Coeff'!$B$4,'Run and RBI Coeff'!$C$4)*Table3[[#This Row],[Doubles (2B)]]</f>
        <v>3.1091965282971747</v>
      </c>
      <c r="AA3" s="8">
        <f ca="1">_xlfn.NORM.INV(RAND(),'Run and RBI Coeff'!$B$5,'Run and RBI Coeff'!$C$5)*Table3[[#This Row],[Triples (3B)]]</f>
        <v>0</v>
      </c>
      <c r="AB3" s="8">
        <f ca="1">_xlfn.NORM.INV(RAND(),'Run and RBI Coeff'!$B$6,'Run and RBI Coeff'!$C$6)*Table3[[#This Row],[Homeruns (HR)]]</f>
        <v>3.0000000020473703</v>
      </c>
      <c r="AC3" s="8">
        <f ca="1">_xlfn.NORM.INV(RAND(),'Run and RBI Coeff'!$B$7,'Run and RBI Coeff'!$C$7)*Table3[[#This Row],[Stolen Bases (SB)]]</f>
        <v>1.3984899459316584</v>
      </c>
      <c r="AD3" s="8">
        <f ca="1">ROUND(((Table3[[#This Row],[Speed_Daring]]*5/100))*(Table3[[#This Row],[Singles (1B)]]+Table3[[#This Row],[Walks (BB)]]),0)</f>
        <v>5</v>
      </c>
      <c r="AE3" s="8" cm="1">
        <f t="array" ref="AE3">_xlfn.XLOOKUP(Table3[[#This Row],[Fielder Position]],Table6[[#All],[Position]],Table6[[#All],[p(Def Roll Err)]])+_xlfn.XLOOKUP(Table3[[#This Row],[Fielder Position]],Table6[[#All],[Position]],Table6[[#All],[p(Non-Hit Err)]])</f>
        <v>2.9166666666666664E-3</v>
      </c>
      <c r="AF3" s="8" cm="1">
        <f t="array" ref="AF3">_xlfn.IFS(ISNUMBER(FIND("P--",Table3[[#This Row],[Perks]])),-0.1,ISNUMBER(FIND("P-",Table3[[#This Row],[Perks]])),-0.05,ISNUMBER(FIND("P++",Table3[[#This Row],[Perks]])),0.1,ISNUMBER(FIND("P+",Table3[[#This Row],[Perks]])),0.05,0=0,0)</f>
        <v>0</v>
      </c>
      <c r="AG3" s="8">
        <f>IF(ISNUMBER(FIND("C+",Table3[[#This Row],[Perks]])),0.1,0)</f>
        <v>0</v>
      </c>
      <c r="AH3" s="8">
        <f>IF(ISNUMBER(FIND("C-",Table3[[#This Row],[Perks]])),(-0.03/4),0)</f>
        <v>0</v>
      </c>
      <c r="AI3" s="8" cm="1">
        <f t="array" ref="AI3">_xlfn.IFS(ISNUMBER(FIND("D-",Table3[[#This Row],[Perks]])),1.5,ISNUMBER(FIND("D+",Table3[[#This Row],[Perks]])),0.5,0=0,1)</f>
        <v>1</v>
      </c>
      <c r="AJ3" s="8" cm="1">
        <f t="array" ref="AJ3">_xlfn.IFS(ISNUMBER(FIND("S-",Table3[[#This Row],[Perks]])),(-2/8),ISNUMBER(FIND("S+",Table3[[#This Row],[Perks]])),(1/8),0=0,0)</f>
        <v>0</v>
      </c>
      <c r="AK3" s="8" cm="1">
        <f t="array" ref="AK3">_xlfn.IFS(ISNUMBER(FIND("S-",Table3[[#This Row],[Perks]])),ManagerialDaringSMinus,ISNUMBER(FIND("S+",Table3[[#This Row],[Perks]])),ManagerialDaringSPlus,0=0,ManagerialDaring)</f>
        <v>8</v>
      </c>
      <c r="AL3" s="8">
        <f>IF(ISNUMBER(FIND("S+",Table3[[#This Row],[Perks]])),0.05,0)</f>
        <v>0</v>
      </c>
      <c r="AM3" s="8" t="b">
        <f>IF(ISNUMBER(FIND("T+",Table3[[#This Row],[Perks]])),TRUE,FALSE)</f>
        <v>0</v>
      </c>
      <c r="AN3" s="8">
        <f>IF(ISNUMBER((FIND("DH",Table3[[#This Row],[Fielder Position]]))),1-StarterAttendance,1)</f>
        <v>1</v>
      </c>
    </row>
    <row r="4" spans="1:40" x14ac:dyDescent="0.25">
      <c r="A4" s="4">
        <v>3</v>
      </c>
      <c r="C4" t="s">
        <v>31</v>
      </c>
      <c r="D4" s="19">
        <v>29</v>
      </c>
      <c r="E4" s="20">
        <v>38</v>
      </c>
      <c r="F4" s="20"/>
      <c r="G4" s="2">
        <f ca="1">ROUND((_xlfn.NORM.INV(RAND(),_xlfn.XLOOKUP(Table3[[#This Row],[Lineup Position]],Table1[Lineup Position],Table1[ΔPA/GS]),_xlfn.XLOOKUP(Table3[[#This Row],[Lineup Position]],Table1[Lineup Position],Table1[StdDev])))*Table3[[#This Row],[Games]],0)</f>
        <v>73</v>
      </c>
      <c r="H4">
        <f ca="1">SUM(Table3[[#This Row],[Hits w/o Def - Crit]:[Crits]])-SUM(Table3[[#This Row],[Doubles (2B)]:[Homeruns (HR)]])</f>
        <v>8</v>
      </c>
      <c r="I4">
        <f ca="1">_xlfn.BINOM.INV(Table3[[#This Row],[Hits w/o Def - Crit]],0.2+Table3[[#This Row],[Contact+]]+Table3[[#This Row],[Speed_Hitting]],RAND())+_xlfn.BINOM.INV(Table3[[#This Row],[Crits]],0.7,RAND())</f>
        <v>5</v>
      </c>
      <c r="J4">
        <f ca="1">_xlfn.BINOM.INV(Table3[[#This Row],[Crits]],0.2+Table3[[#This Row],[Contact+]]+Table3[[#This Row],[Speed_Hitting]],RAND())+IF(Table3[[#This Row],[Speed_Hitting]]&gt;0,_xlfn.BINOM.INV(Table3[[#This Row],[Hits w/o Def - Crit]],Table3[[#This Row],[Speed_Hitting]],RAND()),0)</f>
        <v>1</v>
      </c>
      <c r="K4">
        <f ca="1">IF(Table3[[#This Row],[Power]]&lt;=-0.1,0,(_xlfn.BINOM.INV(Table3[[#This Row],[Hits w/o Def - Crit]],0.1+Table3[[#This Row],[Power]],RAND())+(_xlfn.BINOM.INV(Table3[[#This Row],[Crits]],0.1+Table3[[#This Row],[Power]]+Table3[[#This Row],[Speed_Hitting]],RAND()))))</f>
        <v>4</v>
      </c>
      <c r="L4">
        <f ca="1">_xlfn.BINOM.INV(Table3[[#This Row],[PA]],((Table3[[#This Row],[OBT]]-Table3[[#This Row],[BT]])/100),RAND())</f>
        <v>4</v>
      </c>
      <c r="M4">
        <f ca="1">ROUND(SUM(Table3[[#This Row],[Singles-RBI]:[HR-RBI]]),0)</f>
        <v>12</v>
      </c>
      <c r="N4">
        <f ca="1">ROUND(SUM(Table3[[#This Row],[1B_Runs]:[SB_Runs]]),0)</f>
        <v>10</v>
      </c>
      <c r="O4">
        <f ca="1">_xlfn.BINOM.INV(Table3[[#This Row],[2B Steal Attempts]],(5/8)+Table3[[#This Row],[Speed_SB]],RAND())</f>
        <v>1</v>
      </c>
      <c r="P4">
        <f ca="1">Table3[[#This Row],[2B Steal Attempts]]-Table3[[#This Row],[Stolen Bases (SB)]]</f>
        <v>4</v>
      </c>
      <c r="Q4">
        <f ca="1">_xlfn.BINOM.INV((Table3[[#This Row],[Games]]*VisitingPAs*Table3[[#This Row],[Fielding]]),Table3[[#This Row],[p(Err)]]*Table3[[#This Row],[Defense]],RAND())</f>
        <v>1</v>
      </c>
      <c r="R4" s="7">
        <f>IF(Table3[[#This Row],[Toughness]],((1+StarterAttendance)/2*GamesPerSeason),(StarterAttendance*GamesPerSeason))</f>
        <v>14.4</v>
      </c>
      <c r="S4" s="8">
        <f ca="1">_xlfn.BINOM.INV(Table3[[#This Row],[PA]],(Table3[[#This Row],[BT]]/100-0.045+Table3[[#This Row],[Contact-]]),RAND())-Table3[[#This Row],[Crits]]</f>
        <v>16</v>
      </c>
      <c r="T4" s="8">
        <f ca="1">_xlfn.BINOM.INV(Table3[[#This Row],[PA]],0.04,RAND())</f>
        <v>2</v>
      </c>
      <c r="U4" s="8">
        <f ca="1">(_xlfn.NORM.INV(RAND(),'Run and RBI Coeff'!$I$3,'Run and RBI Coeff'!$J$3))*Table3[[#This Row],[Singles (1B)]]</f>
        <v>2.0159385080401813</v>
      </c>
      <c r="V4" s="8">
        <f ca="1">(_xlfn.NORM.INV(RAND(),'Run and RBI Coeff'!$I$4,'Run and RBI Coeff'!$J$4))*Table3[[#This Row],[Doubles (2B)]]</f>
        <v>2.5945261695422994</v>
      </c>
      <c r="W4" s="8">
        <f ca="1">MAX((_xlfn.NORM.INV(RAND(),'Run and RBI Coeff'!$I$5,'Run and RBI Coeff'!$J$5))*Table3[[#This Row],[Triples (3B)]],0)</f>
        <v>0.91510724053223802</v>
      </c>
      <c r="X4" s="8">
        <f ca="1">(_xlfn.NORM.INV(RAND(),'Run and RBI Coeff'!$I$6,'Run and RBI Coeff'!$J$6))*Table3[[#This Row],[Homeruns (HR)]]</f>
        <v>6.7975231791415718</v>
      </c>
      <c r="Y4" s="8">
        <f ca="1">_xlfn.NORM.INV(RAND(),'Run and RBI Coeff'!$B$3,'Run and RBI Coeff'!$C$3)*Table3[[#This Row],[Singles (1B)]]</f>
        <v>2.1666924330225399</v>
      </c>
      <c r="Z4" s="8">
        <f ca="1">_xlfn.NORM.INV(RAND(),'Run and RBI Coeff'!$B$4,'Run and RBI Coeff'!$C$4)*Table3[[#This Row],[Doubles (2B)]]</f>
        <v>2.3135648242307782</v>
      </c>
      <c r="AA4" s="8">
        <f ca="1">_xlfn.NORM.INV(RAND(),'Run and RBI Coeff'!$B$5,'Run and RBI Coeff'!$C$5)*Table3[[#This Row],[Triples (3B)]]</f>
        <v>0.87584808957416693</v>
      </c>
      <c r="AB4" s="8">
        <f ca="1">_xlfn.NORM.INV(RAND(),'Run and RBI Coeff'!$B$6,'Run and RBI Coeff'!$C$6)*Table3[[#This Row],[Homeruns (HR)]]</f>
        <v>3.9999999928040624</v>
      </c>
      <c r="AC4" s="8">
        <f ca="1">_xlfn.NORM.INV(RAND(),'Run and RBI Coeff'!$B$7,'Run and RBI Coeff'!$C$7)*Table3[[#This Row],[Stolen Bases (SB)]]</f>
        <v>0.49001039754104386</v>
      </c>
      <c r="AD4" s="8">
        <f ca="1">ROUND(((Table3[[#This Row],[Speed_Daring]]*5/100))*(Table3[[#This Row],[Singles (1B)]]+Table3[[#This Row],[Walks (BB)]]),0)</f>
        <v>5</v>
      </c>
      <c r="AE4" s="8" cm="1">
        <f t="array" ref="AE4">_xlfn.XLOOKUP(Table3[[#This Row],[Fielder Position]],Table6[[#All],[Position]],Table6[[#All],[p(Def Roll Err)]])+_xlfn.XLOOKUP(Table3[[#This Row],[Fielder Position]],Table6[[#All],[Position]],Table6[[#All],[p(Non-Hit Err)]])</f>
        <v>3.7500000000000029E-3</v>
      </c>
      <c r="AF4" s="8" cm="1">
        <f t="array" ref="AF4">_xlfn.IFS(ISNUMBER(FIND("P--",Table3[[#This Row],[Perks]])),-0.1,ISNUMBER(FIND("P-",Table3[[#This Row],[Perks]])),-0.05,ISNUMBER(FIND("P++",Table3[[#This Row],[Perks]])),0.1,ISNUMBER(FIND("P+",Table3[[#This Row],[Perks]])),0.05,0=0,0)</f>
        <v>0</v>
      </c>
      <c r="AG4" s="8">
        <f>IF(ISNUMBER(FIND("C+",Table3[[#This Row],[Perks]])),0.1,0)</f>
        <v>0</v>
      </c>
      <c r="AH4" s="8">
        <f>IF(ISNUMBER(FIND("C-",Table3[[#This Row],[Perks]])),(-0.03/4),0)</f>
        <v>0</v>
      </c>
      <c r="AI4" s="8" cm="1">
        <f t="array" ref="AI4">_xlfn.IFS(ISNUMBER(FIND("D-",Table3[[#This Row],[Perks]])),1.5,ISNUMBER(FIND("D+",Table3[[#This Row],[Perks]])),0.5,0=0,1)</f>
        <v>1</v>
      </c>
      <c r="AJ4" s="8" cm="1">
        <f t="array" ref="AJ4">_xlfn.IFS(ISNUMBER(FIND("S-",Table3[[#This Row],[Perks]])),(-2/8),ISNUMBER(FIND("S+",Table3[[#This Row],[Perks]])),(1/8),0=0,0)</f>
        <v>0</v>
      </c>
      <c r="AK4" s="8" cm="1">
        <f t="array" ref="AK4">_xlfn.IFS(ISNUMBER(FIND("S-",Table3[[#This Row],[Perks]])),ManagerialDaringSMinus,ISNUMBER(FIND("S+",Table3[[#This Row],[Perks]])),ManagerialDaringSPlus,0=0,ManagerialDaring)</f>
        <v>8</v>
      </c>
      <c r="AL4" s="8">
        <f>IF(ISNUMBER(FIND("S+",Table3[[#This Row],[Perks]])),0.05,0)</f>
        <v>0</v>
      </c>
      <c r="AM4" s="8" t="b">
        <f>IF(ISNUMBER(FIND("T+",Table3[[#This Row],[Perks]])),TRUE,FALSE)</f>
        <v>0</v>
      </c>
      <c r="AN4" s="8">
        <f>IF(ISNUMBER((FIND("DH",Table3[[#This Row],[Fielder Position]]))),1-StarterAttendance,1)</f>
        <v>1</v>
      </c>
    </row>
    <row r="5" spans="1:40" x14ac:dyDescent="0.25">
      <c r="A5" s="4">
        <v>4</v>
      </c>
      <c r="C5" t="s">
        <v>27</v>
      </c>
      <c r="D5" s="19">
        <v>31</v>
      </c>
      <c r="E5" s="20">
        <v>38</v>
      </c>
      <c r="F5" s="20"/>
      <c r="G5" s="2">
        <f ca="1">ROUND((_xlfn.NORM.INV(RAND(),_xlfn.XLOOKUP(Table3[[#This Row],[Lineup Position]],Table1[Lineup Position],Table1[ΔPA/GS]),_xlfn.XLOOKUP(Table3[[#This Row],[Lineup Position]],Table1[Lineup Position],Table1[StdDev])))*Table3[[#This Row],[Games]],0)</f>
        <v>68</v>
      </c>
      <c r="H5">
        <f ca="1">SUM(Table3[[#This Row],[Hits w/o Def - Crit]:[Crits]])-SUM(Table3[[#This Row],[Doubles (2B)]:[Homeruns (HR)]])</f>
        <v>7</v>
      </c>
      <c r="I5">
        <f ca="1">_xlfn.BINOM.INV(Table3[[#This Row],[Hits w/o Def - Crit]],0.2+Table3[[#This Row],[Contact+]]+Table3[[#This Row],[Speed_Hitting]],RAND())+_xlfn.BINOM.INV(Table3[[#This Row],[Crits]],0.7,RAND())</f>
        <v>5</v>
      </c>
      <c r="J5">
        <f ca="1">_xlfn.BINOM.INV(Table3[[#This Row],[Crits]],0.2+Table3[[#This Row],[Contact+]]+Table3[[#This Row],[Speed_Hitting]],RAND())+IF(Table3[[#This Row],[Speed_Hitting]]&gt;0,_xlfn.BINOM.INV(Table3[[#This Row],[Hits w/o Def - Crit]],Table3[[#This Row],[Speed_Hitting]],RAND()),0)</f>
        <v>0</v>
      </c>
      <c r="K5">
        <f ca="1">IF(Table3[[#This Row],[Power]]&lt;=-0.1,0,(_xlfn.BINOM.INV(Table3[[#This Row],[Hits w/o Def - Crit]],0.1+Table3[[#This Row],[Power]],RAND())+(_xlfn.BINOM.INV(Table3[[#This Row],[Crits]],0.1+Table3[[#This Row],[Power]]+Table3[[#This Row],[Speed_Hitting]],RAND()))))</f>
        <v>4</v>
      </c>
      <c r="L5">
        <f ca="1">_xlfn.BINOM.INV(Table3[[#This Row],[PA]],((Table3[[#This Row],[OBT]]-Table3[[#This Row],[BT]])/100),RAND())</f>
        <v>3</v>
      </c>
      <c r="M5">
        <f ca="1">ROUND(SUM(Table3[[#This Row],[Singles-RBI]:[HR-RBI]]),0)</f>
        <v>11</v>
      </c>
      <c r="N5">
        <f ca="1">ROUND(SUM(Table3[[#This Row],[1B_Runs]:[SB_Runs]]),0)</f>
        <v>10</v>
      </c>
      <c r="O5">
        <f ca="1">_xlfn.BINOM.INV(Table3[[#This Row],[2B Steal Attempts]],(5/8)+Table3[[#This Row],[Speed_SB]],RAND())</f>
        <v>3</v>
      </c>
      <c r="P5">
        <f ca="1">Table3[[#This Row],[2B Steal Attempts]]-Table3[[#This Row],[Stolen Bases (SB)]]</f>
        <v>1</v>
      </c>
      <c r="Q5">
        <f ca="1">_xlfn.BINOM.INV((Table3[[#This Row],[Games]]*VisitingPAs*Table3[[#This Row],[Fielding]]),Table3[[#This Row],[p(Err)]]*Table3[[#This Row],[Defense]],RAND())</f>
        <v>4</v>
      </c>
      <c r="R5" s="7">
        <f>IF(Table3[[#This Row],[Toughness]],((1+StarterAttendance)/2*GamesPerSeason),(StarterAttendance*GamesPerSeason))</f>
        <v>14.4</v>
      </c>
      <c r="S5" s="8">
        <f ca="1">_xlfn.BINOM.INV(Table3[[#This Row],[PA]],(Table3[[#This Row],[BT]]/100-0.045+Table3[[#This Row],[Contact-]]),RAND())-Table3[[#This Row],[Crits]]</f>
        <v>14</v>
      </c>
      <c r="T5" s="8">
        <f ca="1">_xlfn.BINOM.INV(Table3[[#This Row],[PA]],0.04,RAND())</f>
        <v>2</v>
      </c>
      <c r="U5" s="8">
        <f ca="1">(_xlfn.NORM.INV(RAND(),'Run and RBI Coeff'!$I$3,'Run and RBI Coeff'!$J$3))*Table3[[#This Row],[Singles (1B)]]</f>
        <v>1.7369779371176535</v>
      </c>
      <c r="V5" s="8">
        <f ca="1">(_xlfn.NORM.INV(RAND(),'Run and RBI Coeff'!$I$4,'Run and RBI Coeff'!$J$4))*Table3[[#This Row],[Doubles (2B)]]</f>
        <v>2.7095089109113619</v>
      </c>
      <c r="W5" s="8">
        <f ca="1">MAX((_xlfn.NORM.INV(RAND(),'Run and RBI Coeff'!$I$5,'Run and RBI Coeff'!$J$5))*Table3[[#This Row],[Triples (3B)]],0)</f>
        <v>0</v>
      </c>
      <c r="X5" s="8">
        <f ca="1">(_xlfn.NORM.INV(RAND(),'Run and RBI Coeff'!$I$6,'Run and RBI Coeff'!$J$6))*Table3[[#This Row],[Homeruns (HR)]]</f>
        <v>6.3593599873109703</v>
      </c>
      <c r="Y5" s="8">
        <f ca="1">_xlfn.NORM.INV(RAND(),'Run and RBI Coeff'!$B$3,'Run and RBI Coeff'!$C$3)*Table3[[#This Row],[Singles (1B)]]</f>
        <v>1.9452613560674521</v>
      </c>
      <c r="Z5" s="8">
        <f ca="1">_xlfn.NORM.INV(RAND(),'Run and RBI Coeff'!$B$4,'Run and RBI Coeff'!$C$4)*Table3[[#This Row],[Doubles (2B)]]</f>
        <v>2.6193319679643663</v>
      </c>
      <c r="AA5" s="8">
        <f ca="1">_xlfn.NORM.INV(RAND(),'Run and RBI Coeff'!$B$5,'Run and RBI Coeff'!$C$5)*Table3[[#This Row],[Triples (3B)]]</f>
        <v>0</v>
      </c>
      <c r="AB5" s="8">
        <f ca="1">_xlfn.NORM.INV(RAND(),'Run and RBI Coeff'!$B$6,'Run and RBI Coeff'!$C$6)*Table3[[#This Row],[Homeruns (HR)]]</f>
        <v>3.999999997845745</v>
      </c>
      <c r="AC5" s="8">
        <f ca="1">_xlfn.NORM.INV(RAND(),'Run and RBI Coeff'!$B$7,'Run and RBI Coeff'!$C$7)*Table3[[#This Row],[Stolen Bases (SB)]]</f>
        <v>1.7263928690127495</v>
      </c>
      <c r="AD5" s="8">
        <f ca="1">ROUND(((Table3[[#This Row],[Speed_Daring]]*5/100))*(Table3[[#This Row],[Singles (1B)]]+Table3[[#This Row],[Walks (BB)]]),0)</f>
        <v>4</v>
      </c>
      <c r="AE5" s="8" cm="1">
        <f t="array" ref="AE5">_xlfn.XLOOKUP(Table3[[#This Row],[Fielder Position]],Table6[[#All],[Position]],Table6[[#All],[p(Def Roll Err)]])+_xlfn.XLOOKUP(Table3[[#This Row],[Fielder Position]],Table6[[#All],[Position]],Table6[[#All],[p(Non-Hit Err)]])</f>
        <v>2.9166666666666664E-3</v>
      </c>
      <c r="AF5" s="8" cm="1">
        <f t="array" ref="AF5">_xlfn.IFS(ISNUMBER(FIND("P--",Table3[[#This Row],[Perks]])),-0.1,ISNUMBER(FIND("P-",Table3[[#This Row],[Perks]])),-0.05,ISNUMBER(FIND("P++",Table3[[#This Row],[Perks]])),0.1,ISNUMBER(FIND("P+",Table3[[#This Row],[Perks]])),0.05,0=0,0)</f>
        <v>0</v>
      </c>
      <c r="AG5" s="8">
        <f>IF(ISNUMBER(FIND("C+",Table3[[#This Row],[Perks]])),0.1,0)</f>
        <v>0</v>
      </c>
      <c r="AH5" s="8">
        <f>IF(ISNUMBER(FIND("C-",Table3[[#This Row],[Perks]])),(-0.03/4),0)</f>
        <v>0</v>
      </c>
      <c r="AI5" s="8" cm="1">
        <f t="array" ref="AI5">_xlfn.IFS(ISNUMBER(FIND("D-",Table3[[#This Row],[Perks]])),1.5,ISNUMBER(FIND("D+",Table3[[#This Row],[Perks]])),0.5,0=0,1)</f>
        <v>1</v>
      </c>
      <c r="AJ5" s="8" cm="1">
        <f t="array" ref="AJ5">_xlfn.IFS(ISNUMBER(FIND("S-",Table3[[#This Row],[Perks]])),(-2/8),ISNUMBER(FIND("S+",Table3[[#This Row],[Perks]])),(1/8),0=0,0)</f>
        <v>0</v>
      </c>
      <c r="AK5" s="8" cm="1">
        <f t="array" ref="AK5">_xlfn.IFS(ISNUMBER(FIND("S-",Table3[[#This Row],[Perks]])),ManagerialDaringSMinus,ISNUMBER(FIND("S+",Table3[[#This Row],[Perks]])),ManagerialDaringSPlus,0=0,ManagerialDaring)</f>
        <v>8</v>
      </c>
      <c r="AL5" s="8">
        <f>IF(ISNUMBER(FIND("S+",Table3[[#This Row],[Perks]])),0.05,0)</f>
        <v>0</v>
      </c>
      <c r="AM5" s="8" t="b">
        <f>IF(ISNUMBER(FIND("T+",Table3[[#This Row],[Perks]])),TRUE,FALSE)</f>
        <v>0</v>
      </c>
      <c r="AN5" s="8">
        <f>IF(ISNUMBER((FIND("DH",Table3[[#This Row],[Fielder Position]]))),1-StarterAttendance,1)</f>
        <v>1</v>
      </c>
    </row>
    <row r="6" spans="1:40" x14ac:dyDescent="0.25">
      <c r="A6" s="4">
        <v>5</v>
      </c>
      <c r="C6" t="s">
        <v>30</v>
      </c>
      <c r="D6" s="19">
        <v>26</v>
      </c>
      <c r="E6" s="20">
        <v>33</v>
      </c>
      <c r="F6" s="20"/>
      <c r="G6" s="2">
        <f ca="1">ROUND((_xlfn.NORM.INV(RAND(),_xlfn.XLOOKUP(Table3[[#This Row],[Lineup Position]],Table1[Lineup Position],Table1[ΔPA/GS]),_xlfn.XLOOKUP(Table3[[#This Row],[Lineup Position]],Table1[Lineup Position],Table1[StdDev])))*Table3[[#This Row],[Games]],0)</f>
        <v>68</v>
      </c>
      <c r="H6">
        <f ca="1">SUM(Table3[[#This Row],[Hits w/o Def - Crit]:[Crits]])-SUM(Table3[[#This Row],[Doubles (2B)]:[Homeruns (HR)]])</f>
        <v>10</v>
      </c>
      <c r="I6">
        <f ca="1">_xlfn.BINOM.INV(Table3[[#This Row],[Hits w/o Def - Crit]],0.2+Table3[[#This Row],[Contact+]]+Table3[[#This Row],[Speed_Hitting]],RAND())+_xlfn.BINOM.INV(Table3[[#This Row],[Crits]],0.7,RAND())</f>
        <v>4</v>
      </c>
      <c r="J6">
        <f ca="1">_xlfn.BINOM.INV(Table3[[#This Row],[Crits]],0.2+Table3[[#This Row],[Contact+]]+Table3[[#This Row],[Speed_Hitting]],RAND())+IF(Table3[[#This Row],[Speed_Hitting]]&gt;0,_xlfn.BINOM.INV(Table3[[#This Row],[Hits w/o Def - Crit]],Table3[[#This Row],[Speed_Hitting]],RAND()),0)</f>
        <v>0</v>
      </c>
      <c r="K6">
        <f ca="1">IF(Table3[[#This Row],[Power]]&lt;=-0.1,0,(_xlfn.BINOM.INV(Table3[[#This Row],[Hits w/o Def - Crit]],0.1+Table3[[#This Row],[Power]],RAND())+(_xlfn.BINOM.INV(Table3[[#This Row],[Crits]],0.1+Table3[[#This Row],[Power]]+Table3[[#This Row],[Speed_Hitting]],RAND()))))</f>
        <v>0</v>
      </c>
      <c r="L6">
        <f ca="1">_xlfn.BINOM.INV(Table3[[#This Row],[PA]],((Table3[[#This Row],[OBT]]-Table3[[#This Row],[BT]])/100),RAND())</f>
        <v>6</v>
      </c>
      <c r="M6">
        <f ca="1">ROUND(SUM(Table3[[#This Row],[Singles-RBI]:[HR-RBI]]),0)</f>
        <v>5</v>
      </c>
      <c r="N6">
        <f ca="1">ROUND(SUM(Table3[[#This Row],[1B_Runs]:[SB_Runs]]),0)</f>
        <v>7</v>
      </c>
      <c r="O6">
        <f ca="1">_xlfn.BINOM.INV(Table3[[#This Row],[2B Steal Attempts]],(5/8)+Table3[[#This Row],[Speed_SB]],RAND())</f>
        <v>5</v>
      </c>
      <c r="P6">
        <f ca="1">Table3[[#This Row],[2B Steal Attempts]]-Table3[[#This Row],[Stolen Bases (SB)]]</f>
        <v>1</v>
      </c>
      <c r="Q6">
        <f ca="1">_xlfn.BINOM.INV((Table3[[#This Row],[Games]]*VisitingPAs*Table3[[#This Row],[Fielding]]),Table3[[#This Row],[p(Err)]]*Table3[[#This Row],[Defense]],RAND())</f>
        <v>3</v>
      </c>
      <c r="R6" s="7">
        <f>IF(Table3[[#This Row],[Toughness]],((1+StarterAttendance)/2*GamesPerSeason),(StarterAttendance*GamesPerSeason))</f>
        <v>14.4</v>
      </c>
      <c r="S6" s="8">
        <f ca="1">_xlfn.BINOM.INV(Table3[[#This Row],[PA]],(Table3[[#This Row],[BT]]/100-0.045+Table3[[#This Row],[Contact-]]),RAND())-Table3[[#This Row],[Crits]]</f>
        <v>12</v>
      </c>
      <c r="T6" s="8">
        <f ca="1">_xlfn.BINOM.INV(Table3[[#This Row],[PA]],0.04,RAND())</f>
        <v>2</v>
      </c>
      <c r="U6" s="8">
        <f ca="1">(_xlfn.NORM.INV(RAND(),'Run and RBI Coeff'!$I$3,'Run and RBI Coeff'!$J$3))*Table3[[#This Row],[Singles (1B)]]</f>
        <v>2.3946456004390844</v>
      </c>
      <c r="V6" s="8">
        <f ca="1">(_xlfn.NORM.INV(RAND(),'Run and RBI Coeff'!$I$4,'Run and RBI Coeff'!$J$4))*Table3[[#This Row],[Doubles (2B)]]</f>
        <v>2.1127635915453364</v>
      </c>
      <c r="W6" s="8">
        <f ca="1">MAX((_xlfn.NORM.INV(RAND(),'Run and RBI Coeff'!$I$5,'Run and RBI Coeff'!$J$5))*Table3[[#This Row],[Triples (3B)]],0)</f>
        <v>0</v>
      </c>
      <c r="X6" s="8">
        <f ca="1">(_xlfn.NORM.INV(RAND(),'Run and RBI Coeff'!$I$6,'Run and RBI Coeff'!$J$6))*Table3[[#This Row],[Homeruns (HR)]]</f>
        <v>0</v>
      </c>
      <c r="Y6" s="8">
        <f ca="1">_xlfn.NORM.INV(RAND(),'Run and RBI Coeff'!$B$3,'Run and RBI Coeff'!$C$3)*Table3[[#This Row],[Singles (1B)]]</f>
        <v>2.9408533290761496</v>
      </c>
      <c r="Z6" s="8">
        <f ca="1">_xlfn.NORM.INV(RAND(),'Run and RBI Coeff'!$B$4,'Run and RBI Coeff'!$C$4)*Table3[[#This Row],[Doubles (2B)]]</f>
        <v>2.0747851697074715</v>
      </c>
      <c r="AA6" s="8">
        <f ca="1">_xlfn.NORM.INV(RAND(),'Run and RBI Coeff'!$B$5,'Run and RBI Coeff'!$C$5)*Table3[[#This Row],[Triples (3B)]]</f>
        <v>0</v>
      </c>
      <c r="AB6" s="8">
        <f ca="1">_xlfn.NORM.INV(RAND(),'Run and RBI Coeff'!$B$6,'Run and RBI Coeff'!$C$6)*Table3[[#This Row],[Homeruns (HR)]]</f>
        <v>0</v>
      </c>
      <c r="AC6" s="8">
        <f ca="1">_xlfn.NORM.INV(RAND(),'Run and RBI Coeff'!$B$7,'Run and RBI Coeff'!$C$7)*Table3[[#This Row],[Stolen Bases (SB)]]</f>
        <v>2.131519576345029</v>
      </c>
      <c r="AD6" s="8">
        <f ca="1">ROUND(((Table3[[#This Row],[Speed_Daring]]*5/100))*(Table3[[#This Row],[Singles (1B)]]+Table3[[#This Row],[Walks (BB)]]),0)</f>
        <v>6</v>
      </c>
      <c r="AE6" s="8" cm="1">
        <f t="array" ref="AE6">_xlfn.XLOOKUP(Table3[[#This Row],[Fielder Position]],Table6[[#All],[Position]],Table6[[#All],[p(Def Roll Err)]])+_xlfn.XLOOKUP(Table3[[#This Row],[Fielder Position]],Table6[[#All],[Position]],Table6[[#All],[p(Non-Hit Err)]])</f>
        <v>3.7500000000000029E-3</v>
      </c>
      <c r="AF6" s="8" cm="1">
        <f t="array" ref="AF6">_xlfn.IFS(ISNUMBER(FIND("P--",Table3[[#This Row],[Perks]])),-0.1,ISNUMBER(FIND("P-",Table3[[#This Row],[Perks]])),-0.05,ISNUMBER(FIND("P++",Table3[[#This Row],[Perks]])),0.1,ISNUMBER(FIND("P+",Table3[[#This Row],[Perks]])),0.05,0=0,0)</f>
        <v>0</v>
      </c>
      <c r="AG6" s="8">
        <f>IF(ISNUMBER(FIND("C+",Table3[[#This Row],[Perks]])),0.1,0)</f>
        <v>0</v>
      </c>
      <c r="AH6" s="8">
        <f>IF(ISNUMBER(FIND("C-",Table3[[#This Row],[Perks]])),(-0.03/4),0)</f>
        <v>0</v>
      </c>
      <c r="AI6" s="8" cm="1">
        <f t="array" ref="AI6">_xlfn.IFS(ISNUMBER(FIND("D-",Table3[[#This Row],[Perks]])),1.5,ISNUMBER(FIND("D+",Table3[[#This Row],[Perks]])),0.5,0=0,1)</f>
        <v>1</v>
      </c>
      <c r="AJ6" s="8" cm="1">
        <f t="array" ref="AJ6">_xlfn.IFS(ISNUMBER(FIND("S-",Table3[[#This Row],[Perks]])),(-2/8),ISNUMBER(FIND("S+",Table3[[#This Row],[Perks]])),(1/8),0=0,0)</f>
        <v>0</v>
      </c>
      <c r="AK6" s="8" cm="1">
        <f t="array" ref="AK6">_xlfn.IFS(ISNUMBER(FIND("S-",Table3[[#This Row],[Perks]])),ManagerialDaringSMinus,ISNUMBER(FIND("S+",Table3[[#This Row],[Perks]])),ManagerialDaringSPlus,0=0,ManagerialDaring)</f>
        <v>8</v>
      </c>
      <c r="AL6" s="8">
        <f>IF(ISNUMBER(FIND("S+",Table3[[#This Row],[Perks]])),0.05,0)</f>
        <v>0</v>
      </c>
      <c r="AM6" s="8" t="b">
        <f>IF(ISNUMBER(FIND("T+",Table3[[#This Row],[Perks]])),TRUE,FALSE)</f>
        <v>0</v>
      </c>
      <c r="AN6" s="8">
        <f>IF(ISNUMBER((FIND("DH",Table3[[#This Row],[Fielder Position]]))),1-StarterAttendance,1)</f>
        <v>1</v>
      </c>
    </row>
    <row r="7" spans="1:40" x14ac:dyDescent="0.25">
      <c r="A7" s="4">
        <v>6</v>
      </c>
      <c r="C7" t="s">
        <v>28</v>
      </c>
      <c r="D7" s="19">
        <v>25</v>
      </c>
      <c r="E7" s="20">
        <v>34</v>
      </c>
      <c r="F7" s="20"/>
      <c r="G7" s="2">
        <f ca="1">ROUND((_xlfn.NORM.INV(RAND(),_xlfn.XLOOKUP(Table3[[#This Row],[Lineup Position]],Table1[Lineup Position],Table1[ΔPA/GS]),_xlfn.XLOOKUP(Table3[[#This Row],[Lineup Position]],Table1[Lineup Position],Table1[StdDev])))*Table3[[#This Row],[Games]],0)</f>
        <v>66</v>
      </c>
      <c r="H7">
        <f ca="1">SUM(Table3[[#This Row],[Hits w/o Def - Crit]:[Crits]])-SUM(Table3[[#This Row],[Doubles (2B)]:[Homeruns (HR)]])</f>
        <v>6</v>
      </c>
      <c r="I7">
        <f ca="1">_xlfn.BINOM.INV(Table3[[#This Row],[Hits w/o Def - Crit]],0.2+Table3[[#This Row],[Contact+]]+Table3[[#This Row],[Speed_Hitting]],RAND())+_xlfn.BINOM.INV(Table3[[#This Row],[Crits]],0.7,RAND())</f>
        <v>7</v>
      </c>
      <c r="J7">
        <f ca="1">_xlfn.BINOM.INV(Table3[[#This Row],[Crits]],0.2+Table3[[#This Row],[Contact+]]+Table3[[#This Row],[Speed_Hitting]],RAND())+IF(Table3[[#This Row],[Speed_Hitting]]&gt;0,_xlfn.BINOM.INV(Table3[[#This Row],[Hits w/o Def - Crit]],Table3[[#This Row],[Speed_Hitting]],RAND()),0)</f>
        <v>0</v>
      </c>
      <c r="K7">
        <f ca="1">IF(Table3[[#This Row],[Power]]&lt;=-0.1,0,(_xlfn.BINOM.INV(Table3[[#This Row],[Hits w/o Def - Crit]],0.1+Table3[[#This Row],[Power]],RAND())+(_xlfn.BINOM.INV(Table3[[#This Row],[Crits]],0.1+Table3[[#This Row],[Power]]+Table3[[#This Row],[Speed_Hitting]],RAND()))))</f>
        <v>2</v>
      </c>
      <c r="L7">
        <f ca="1">_xlfn.BINOM.INV(Table3[[#This Row],[PA]],((Table3[[#This Row],[OBT]]-Table3[[#This Row],[BT]])/100),RAND())</f>
        <v>4</v>
      </c>
      <c r="M7">
        <f ca="1">ROUND(SUM(Table3[[#This Row],[Singles-RBI]:[HR-RBI]]),0)</f>
        <v>9</v>
      </c>
      <c r="N7">
        <f ca="1">ROUND(SUM(Table3[[#This Row],[1B_Runs]:[SB_Runs]]),0)</f>
        <v>8</v>
      </c>
      <c r="O7">
        <f ca="1">_xlfn.BINOM.INV(Table3[[#This Row],[2B Steal Attempts]],(5/8)+Table3[[#This Row],[Speed_SB]],RAND())</f>
        <v>2</v>
      </c>
      <c r="P7">
        <f ca="1">Table3[[#This Row],[2B Steal Attempts]]-Table3[[#This Row],[Stolen Bases (SB)]]</f>
        <v>2</v>
      </c>
      <c r="Q7">
        <f ca="1">_xlfn.BINOM.INV((Table3[[#This Row],[Games]]*VisitingPAs*Table3[[#This Row],[Fielding]]),Table3[[#This Row],[p(Err)]]*Table3[[#This Row],[Defense]],RAND())</f>
        <v>2</v>
      </c>
      <c r="R7" s="7">
        <f>IF(Table3[[#This Row],[Toughness]],((1+StarterAttendance)/2*GamesPerSeason),(StarterAttendance*GamesPerSeason))</f>
        <v>14.4</v>
      </c>
      <c r="S7" s="8">
        <f ca="1">_xlfn.BINOM.INV(Table3[[#This Row],[PA]],(Table3[[#This Row],[BT]]/100-0.045+Table3[[#This Row],[Contact-]]),RAND())-Table3[[#This Row],[Crits]]</f>
        <v>15</v>
      </c>
      <c r="T7" s="8">
        <f ca="1">_xlfn.BINOM.INV(Table3[[#This Row],[PA]],0.04,RAND())</f>
        <v>0</v>
      </c>
      <c r="U7" s="8">
        <f ca="1">(_xlfn.NORM.INV(RAND(),'Run and RBI Coeff'!$I$3,'Run and RBI Coeff'!$J$3))*Table3[[#This Row],[Singles (1B)]]</f>
        <v>1.5348950065274782</v>
      </c>
      <c r="V7" s="8">
        <f ca="1">(_xlfn.NORM.INV(RAND(),'Run and RBI Coeff'!$I$4,'Run and RBI Coeff'!$J$4))*Table3[[#This Row],[Doubles (2B)]]</f>
        <v>3.5989938370848624</v>
      </c>
      <c r="W7" s="8">
        <f ca="1">MAX((_xlfn.NORM.INV(RAND(),'Run and RBI Coeff'!$I$5,'Run and RBI Coeff'!$J$5))*Table3[[#This Row],[Triples (3B)]],0)</f>
        <v>0</v>
      </c>
      <c r="X7" s="8">
        <f ca="1">(_xlfn.NORM.INV(RAND(),'Run and RBI Coeff'!$I$6,'Run and RBI Coeff'!$J$6))*Table3[[#This Row],[Homeruns (HR)]]</f>
        <v>3.3749619623246692</v>
      </c>
      <c r="Y7" s="8">
        <f ca="1">_xlfn.NORM.INV(RAND(),'Run and RBI Coeff'!$B$3,'Run and RBI Coeff'!$C$3)*Table3[[#This Row],[Singles (1B)]]</f>
        <v>1.7020277974268314</v>
      </c>
      <c r="Z7" s="8">
        <f ca="1">_xlfn.NORM.INV(RAND(),'Run and RBI Coeff'!$B$4,'Run and RBI Coeff'!$C$4)*Table3[[#This Row],[Doubles (2B)]]</f>
        <v>3.6691720706082722</v>
      </c>
      <c r="AA7" s="8">
        <f ca="1">_xlfn.NORM.INV(RAND(),'Run and RBI Coeff'!$B$5,'Run and RBI Coeff'!$C$5)*Table3[[#This Row],[Triples (3B)]]</f>
        <v>0</v>
      </c>
      <c r="AB7" s="8">
        <f ca="1">_xlfn.NORM.INV(RAND(),'Run and RBI Coeff'!$B$6,'Run and RBI Coeff'!$C$6)*Table3[[#This Row],[Homeruns (HR)]]</f>
        <v>2.0000000017954491</v>
      </c>
      <c r="AC7" s="8">
        <f ca="1">_xlfn.NORM.INV(RAND(),'Run and RBI Coeff'!$B$7,'Run and RBI Coeff'!$C$7)*Table3[[#This Row],[Stolen Bases (SB)]]</f>
        <v>0.96310496154076841</v>
      </c>
      <c r="AD7" s="8">
        <f ca="1">ROUND(((Table3[[#This Row],[Speed_Daring]]*5/100))*(Table3[[#This Row],[Singles (1B)]]+Table3[[#This Row],[Walks (BB)]]),0)</f>
        <v>4</v>
      </c>
      <c r="AE7" s="8" cm="1">
        <f t="array" ref="AE7">_xlfn.XLOOKUP(Table3[[#This Row],[Fielder Position]],Table6[[#All],[Position]],Table6[[#All],[p(Def Roll Err)]])+_xlfn.XLOOKUP(Table3[[#This Row],[Fielder Position]],Table6[[#All],[Position]],Table6[[#All],[p(Non-Hit Err)]])</f>
        <v>2.9166666666666664E-3</v>
      </c>
      <c r="AF7" s="8" cm="1">
        <f t="array" ref="AF7">_xlfn.IFS(ISNUMBER(FIND("P--",Table3[[#This Row],[Perks]])),-0.1,ISNUMBER(FIND("P-",Table3[[#This Row],[Perks]])),-0.05,ISNUMBER(FIND("P++",Table3[[#This Row],[Perks]])),0.1,ISNUMBER(FIND("P+",Table3[[#This Row],[Perks]])),0.05,0=0,0)</f>
        <v>0</v>
      </c>
      <c r="AG7" s="8">
        <f>IF(ISNUMBER(FIND("C+",Table3[[#This Row],[Perks]])),0.1,0)</f>
        <v>0</v>
      </c>
      <c r="AH7" s="8">
        <f>IF(ISNUMBER(FIND("C-",Table3[[#This Row],[Perks]])),(-0.03/4),0)</f>
        <v>0</v>
      </c>
      <c r="AI7" s="8" cm="1">
        <f t="array" ref="AI7">_xlfn.IFS(ISNUMBER(FIND("D-",Table3[[#This Row],[Perks]])),1.5,ISNUMBER(FIND("D+",Table3[[#This Row],[Perks]])),0.5,0=0,1)</f>
        <v>1</v>
      </c>
      <c r="AJ7" s="8" cm="1">
        <f t="array" ref="AJ7">_xlfn.IFS(ISNUMBER(FIND("S-",Table3[[#This Row],[Perks]])),(-2/8),ISNUMBER(FIND("S+",Table3[[#This Row],[Perks]])),(1/8),0=0,0)</f>
        <v>0</v>
      </c>
      <c r="AK7" s="8" cm="1">
        <f t="array" ref="AK7">_xlfn.IFS(ISNUMBER(FIND("S-",Table3[[#This Row],[Perks]])),ManagerialDaringSMinus,ISNUMBER(FIND("S+",Table3[[#This Row],[Perks]])),ManagerialDaringSPlus,0=0,ManagerialDaring)</f>
        <v>8</v>
      </c>
      <c r="AL7" s="8">
        <f>IF(ISNUMBER(FIND("S+",Table3[[#This Row],[Perks]])),0.05,0)</f>
        <v>0</v>
      </c>
      <c r="AM7" s="8" t="b">
        <f>IF(ISNUMBER(FIND("T+",Table3[[#This Row],[Perks]])),TRUE,FALSE)</f>
        <v>0</v>
      </c>
      <c r="AN7" s="8">
        <f>IF(ISNUMBER((FIND("DH",Table3[[#This Row],[Fielder Position]]))),1-StarterAttendance,1)</f>
        <v>1</v>
      </c>
    </row>
    <row r="8" spans="1:40" x14ac:dyDescent="0.25">
      <c r="A8" s="4">
        <v>7</v>
      </c>
      <c r="C8" t="s">
        <v>29</v>
      </c>
      <c r="D8" s="19">
        <v>29</v>
      </c>
      <c r="E8" s="20">
        <v>34</v>
      </c>
      <c r="F8" s="20"/>
      <c r="G8" s="2">
        <f ca="1">ROUND((_xlfn.NORM.INV(RAND(),_xlfn.XLOOKUP(Table3[[#This Row],[Lineup Position]],Table1[Lineup Position],Table1[ΔPA/GS]),_xlfn.XLOOKUP(Table3[[#This Row],[Lineup Position]],Table1[Lineup Position],Table1[StdDev])))*Table3[[#This Row],[Games]],0)</f>
        <v>66</v>
      </c>
      <c r="H8">
        <f ca="1">SUM(Table3[[#This Row],[Hits w/o Def - Crit]:[Crits]])-SUM(Table3[[#This Row],[Doubles (2B)]:[Homeruns (HR)]])</f>
        <v>8</v>
      </c>
      <c r="I8">
        <f ca="1">_xlfn.BINOM.INV(Table3[[#This Row],[Hits w/o Def - Crit]],0.2+Table3[[#This Row],[Contact+]]+Table3[[#This Row],[Speed_Hitting]],RAND())+_xlfn.BINOM.INV(Table3[[#This Row],[Crits]],0.7,RAND())</f>
        <v>4</v>
      </c>
      <c r="J8">
        <f ca="1">_xlfn.BINOM.INV(Table3[[#This Row],[Crits]],0.2+Table3[[#This Row],[Contact+]]+Table3[[#This Row],[Speed_Hitting]],RAND())+IF(Table3[[#This Row],[Speed_Hitting]]&gt;0,_xlfn.BINOM.INV(Table3[[#This Row],[Hits w/o Def - Crit]],Table3[[#This Row],[Speed_Hitting]],RAND()),0)</f>
        <v>0</v>
      </c>
      <c r="K8">
        <f ca="1">IF(Table3[[#This Row],[Power]]&lt;=-0.1,0,(_xlfn.BINOM.INV(Table3[[#This Row],[Hits w/o Def - Crit]],0.1+Table3[[#This Row],[Power]],RAND())+(_xlfn.BINOM.INV(Table3[[#This Row],[Crits]],0.1+Table3[[#This Row],[Power]]+Table3[[#This Row],[Speed_Hitting]],RAND()))))</f>
        <v>1</v>
      </c>
      <c r="L8">
        <f ca="1">_xlfn.BINOM.INV(Table3[[#This Row],[PA]],((Table3[[#This Row],[OBT]]-Table3[[#This Row],[BT]])/100),RAND())</f>
        <v>0</v>
      </c>
      <c r="M8">
        <f ca="1">ROUND(SUM(Table3[[#This Row],[Singles-RBI]:[HR-RBI]]),0)</f>
        <v>6</v>
      </c>
      <c r="N8">
        <f ca="1">ROUND(SUM(Table3[[#This Row],[1B_Runs]:[SB_Runs]]),0)</f>
        <v>6</v>
      </c>
      <c r="O8">
        <f ca="1">_xlfn.BINOM.INV(Table3[[#This Row],[2B Steal Attempts]],(5/8)+Table3[[#This Row],[Speed_SB]],RAND())</f>
        <v>1</v>
      </c>
      <c r="P8">
        <f ca="1">Table3[[#This Row],[2B Steal Attempts]]-Table3[[#This Row],[Stolen Bases (SB)]]</f>
        <v>2</v>
      </c>
      <c r="Q8">
        <f ca="1">_xlfn.BINOM.INV((Table3[[#This Row],[Games]]*VisitingPAs*Table3[[#This Row],[Fielding]]),Table3[[#This Row],[p(Err)]]*Table3[[#This Row],[Defense]],RAND())</f>
        <v>3</v>
      </c>
      <c r="R8" s="7">
        <f>IF(Table3[[#This Row],[Toughness]],((1+StarterAttendance)/2*GamesPerSeason),(StarterAttendance*GamesPerSeason))</f>
        <v>14.4</v>
      </c>
      <c r="S8" s="8">
        <f ca="1">_xlfn.BINOM.INV(Table3[[#This Row],[PA]],(Table3[[#This Row],[BT]]/100-0.045+Table3[[#This Row],[Contact-]]),RAND())-Table3[[#This Row],[Crits]]</f>
        <v>9</v>
      </c>
      <c r="T8" s="8">
        <f ca="1">_xlfn.BINOM.INV(Table3[[#This Row],[PA]],0.04,RAND())</f>
        <v>4</v>
      </c>
      <c r="U8" s="8">
        <f ca="1">(_xlfn.NORM.INV(RAND(),'Run and RBI Coeff'!$I$3,'Run and RBI Coeff'!$J$3))*Table3[[#This Row],[Singles (1B)]]</f>
        <v>1.8792792142663777</v>
      </c>
      <c r="V8" s="8">
        <f ca="1">(_xlfn.NORM.INV(RAND(),'Run and RBI Coeff'!$I$4,'Run and RBI Coeff'!$J$4))*Table3[[#This Row],[Doubles (2B)]]</f>
        <v>2.1652066021007959</v>
      </c>
      <c r="W8" s="8">
        <f ca="1">MAX((_xlfn.NORM.INV(RAND(),'Run and RBI Coeff'!$I$5,'Run and RBI Coeff'!$J$5))*Table3[[#This Row],[Triples (3B)]],0)</f>
        <v>0</v>
      </c>
      <c r="X8" s="8">
        <f ca="1">(_xlfn.NORM.INV(RAND(),'Run and RBI Coeff'!$I$6,'Run and RBI Coeff'!$J$6))*Table3[[#This Row],[Homeruns (HR)]]</f>
        <v>1.6123044034324854</v>
      </c>
      <c r="Y8" s="8">
        <f ca="1">_xlfn.NORM.INV(RAND(),'Run and RBI Coeff'!$B$3,'Run and RBI Coeff'!$C$3)*Table3[[#This Row],[Singles (1B)]]</f>
        <v>2.1163753715394957</v>
      </c>
      <c r="Z8" s="8">
        <f ca="1">_xlfn.NORM.INV(RAND(),'Run and RBI Coeff'!$B$4,'Run and RBI Coeff'!$C$4)*Table3[[#This Row],[Doubles (2B)]]</f>
        <v>2.000320801999611</v>
      </c>
      <c r="AA8" s="8">
        <f ca="1">_xlfn.NORM.INV(RAND(),'Run and RBI Coeff'!$B$5,'Run and RBI Coeff'!$C$5)*Table3[[#This Row],[Triples (3B)]]</f>
        <v>0</v>
      </c>
      <c r="AB8" s="8">
        <f ca="1">_xlfn.NORM.INV(RAND(),'Run and RBI Coeff'!$B$6,'Run and RBI Coeff'!$C$6)*Table3[[#This Row],[Homeruns (HR)]]</f>
        <v>1.0000000012445229</v>
      </c>
      <c r="AC8" s="8">
        <f ca="1">_xlfn.NORM.INV(RAND(),'Run and RBI Coeff'!$B$7,'Run and RBI Coeff'!$C$7)*Table3[[#This Row],[Stolen Bases (SB)]]</f>
        <v>0.49820568543414584</v>
      </c>
      <c r="AD8" s="8">
        <f ca="1">ROUND(((Table3[[#This Row],[Speed_Daring]]*5/100))*(Table3[[#This Row],[Singles (1B)]]+Table3[[#This Row],[Walks (BB)]]),0)</f>
        <v>3</v>
      </c>
      <c r="AE8" s="8" cm="1">
        <f t="array" ref="AE8">_xlfn.XLOOKUP(Table3[[#This Row],[Fielder Position]],Table6[[#All],[Position]],Table6[[#All],[p(Def Roll Err)]])+_xlfn.XLOOKUP(Table3[[#This Row],[Fielder Position]],Table6[[#All],[Position]],Table6[[#All],[p(Non-Hit Err)]])</f>
        <v>2.9166666666666664E-3</v>
      </c>
      <c r="AF8" s="8" cm="1">
        <f t="array" ref="AF8">_xlfn.IFS(ISNUMBER(FIND("P--",Table3[[#This Row],[Perks]])),-0.1,ISNUMBER(FIND("P-",Table3[[#This Row],[Perks]])),-0.05,ISNUMBER(FIND("P++",Table3[[#This Row],[Perks]])),0.1,ISNUMBER(FIND("P+",Table3[[#This Row],[Perks]])),0.05,0=0,0)</f>
        <v>0</v>
      </c>
      <c r="AG8" s="8">
        <f>IF(ISNUMBER(FIND("C+",Table3[[#This Row],[Perks]])),0.1,0)</f>
        <v>0</v>
      </c>
      <c r="AH8" s="8">
        <f>IF(ISNUMBER(FIND("C-",Table3[[#This Row],[Perks]])),(-0.03/4),0)</f>
        <v>0</v>
      </c>
      <c r="AI8" s="8" cm="1">
        <f t="array" ref="AI8">_xlfn.IFS(ISNUMBER(FIND("D-",Table3[[#This Row],[Perks]])),1.5,ISNUMBER(FIND("D+",Table3[[#This Row],[Perks]])),0.5,0=0,1)</f>
        <v>1</v>
      </c>
      <c r="AJ8" s="8" cm="1">
        <f t="array" ref="AJ8">_xlfn.IFS(ISNUMBER(FIND("S-",Table3[[#This Row],[Perks]])),(-2/8),ISNUMBER(FIND("S+",Table3[[#This Row],[Perks]])),(1/8),0=0,0)</f>
        <v>0</v>
      </c>
      <c r="AK8" s="8" cm="1">
        <f t="array" ref="AK8">_xlfn.IFS(ISNUMBER(FIND("S-",Table3[[#This Row],[Perks]])),ManagerialDaringSMinus,ISNUMBER(FIND("S+",Table3[[#This Row],[Perks]])),ManagerialDaringSPlus,0=0,ManagerialDaring)</f>
        <v>8</v>
      </c>
      <c r="AL8" s="8">
        <f>IF(ISNUMBER(FIND("S+",Table3[[#This Row],[Perks]])),0.05,0)</f>
        <v>0</v>
      </c>
      <c r="AM8" s="8" t="b">
        <f>IF(ISNUMBER(FIND("T+",Table3[[#This Row],[Perks]])),TRUE,FALSE)</f>
        <v>0</v>
      </c>
      <c r="AN8" s="8">
        <f>IF(ISNUMBER((FIND("DH",Table3[[#This Row],[Fielder Position]]))),1-StarterAttendance,1)</f>
        <v>1</v>
      </c>
    </row>
    <row r="9" spans="1:40" x14ac:dyDescent="0.25">
      <c r="A9" s="4">
        <v>8</v>
      </c>
      <c r="C9" t="s">
        <v>26</v>
      </c>
      <c r="D9" s="19">
        <v>29</v>
      </c>
      <c r="E9" s="20">
        <v>39</v>
      </c>
      <c r="F9" s="20"/>
      <c r="G9" s="2">
        <f ca="1">ROUND((_xlfn.NORM.INV(RAND(),_xlfn.XLOOKUP(Table3[[#This Row],[Lineup Position]],Table1[Lineup Position],Table1[ΔPA/GS]),_xlfn.XLOOKUP(Table3[[#This Row],[Lineup Position]],Table1[Lineup Position],Table1[StdDev])))*Table3[[#This Row],[Games]],0)</f>
        <v>62</v>
      </c>
      <c r="H9">
        <f ca="1">SUM(Table3[[#This Row],[Hits w/o Def - Crit]:[Crits]])-SUM(Table3[[#This Row],[Doubles (2B)]:[Homeruns (HR)]])</f>
        <v>8</v>
      </c>
      <c r="I9">
        <f ca="1">_xlfn.BINOM.INV(Table3[[#This Row],[Hits w/o Def - Crit]],0.2+Table3[[#This Row],[Contact+]]+Table3[[#This Row],[Speed_Hitting]],RAND())+_xlfn.BINOM.INV(Table3[[#This Row],[Crits]],0.7,RAND())</f>
        <v>1</v>
      </c>
      <c r="J9">
        <f ca="1">_xlfn.BINOM.INV(Table3[[#This Row],[Crits]],0.2+Table3[[#This Row],[Contact+]]+Table3[[#This Row],[Speed_Hitting]],RAND())+IF(Table3[[#This Row],[Speed_Hitting]]&gt;0,_xlfn.BINOM.INV(Table3[[#This Row],[Hits w/o Def - Crit]],Table3[[#This Row],[Speed_Hitting]],RAND()),0)</f>
        <v>0</v>
      </c>
      <c r="K9">
        <f ca="1">IF(Table3[[#This Row],[Power]]&lt;=-0.1,0,(_xlfn.BINOM.INV(Table3[[#This Row],[Hits w/o Def - Crit]],0.1+Table3[[#This Row],[Power]],RAND())+(_xlfn.BINOM.INV(Table3[[#This Row],[Crits]],0.1+Table3[[#This Row],[Power]]+Table3[[#This Row],[Speed_Hitting]],RAND()))))</f>
        <v>0</v>
      </c>
      <c r="L9">
        <f ca="1">_xlfn.BINOM.INV(Table3[[#This Row],[PA]],((Table3[[#This Row],[OBT]]-Table3[[#This Row],[BT]])/100),RAND())</f>
        <v>4</v>
      </c>
      <c r="M9">
        <f ca="1">ROUND(SUM(Table3[[#This Row],[Singles-RBI]:[HR-RBI]]),0)</f>
        <v>3</v>
      </c>
      <c r="N9">
        <f ca="1">ROUND(SUM(Table3[[#This Row],[1B_Runs]:[SB_Runs]]),0)</f>
        <v>4</v>
      </c>
      <c r="O9">
        <f ca="1">_xlfn.BINOM.INV(Table3[[#This Row],[2B Steal Attempts]],(5/8)+Table3[[#This Row],[Speed_SB]],RAND())</f>
        <v>4</v>
      </c>
      <c r="P9">
        <f ca="1">Table3[[#This Row],[2B Steal Attempts]]-Table3[[#This Row],[Stolen Bases (SB)]]</f>
        <v>1</v>
      </c>
      <c r="Q9">
        <f ca="1">_xlfn.BINOM.INV((Table3[[#This Row],[Games]]*VisitingPAs*Table3[[#This Row],[Fielding]]),Table3[[#This Row],[p(Err)]]*Table3[[#This Row],[Defense]],RAND())</f>
        <v>0</v>
      </c>
      <c r="R9" s="7">
        <f>IF(Table3[[#This Row],[Toughness]],((1+StarterAttendance)/2*GamesPerSeason),(StarterAttendance*GamesPerSeason))</f>
        <v>14.4</v>
      </c>
      <c r="S9" s="8">
        <f ca="1">_xlfn.BINOM.INV(Table3[[#This Row],[PA]],(Table3[[#This Row],[BT]]/100-0.045+Table3[[#This Row],[Contact-]]),RAND())-Table3[[#This Row],[Crits]]</f>
        <v>8</v>
      </c>
      <c r="T9" s="8">
        <f ca="1">_xlfn.BINOM.INV(Table3[[#This Row],[PA]],0.04,RAND())</f>
        <v>1</v>
      </c>
      <c r="U9" s="8">
        <f ca="1">(_xlfn.NORM.INV(RAND(),'Run and RBI Coeff'!$I$3,'Run and RBI Coeff'!$J$3))*Table3[[#This Row],[Singles (1B)]]</f>
        <v>2.092625610231444</v>
      </c>
      <c r="V9" s="8">
        <f ca="1">(_xlfn.NORM.INV(RAND(),'Run and RBI Coeff'!$I$4,'Run and RBI Coeff'!$J$4))*Table3[[#This Row],[Doubles (2B)]]</f>
        <v>0.63339146279265701</v>
      </c>
      <c r="W9" s="8">
        <f ca="1">MAX((_xlfn.NORM.INV(RAND(),'Run and RBI Coeff'!$I$5,'Run and RBI Coeff'!$J$5))*Table3[[#This Row],[Triples (3B)]],0)</f>
        <v>0</v>
      </c>
      <c r="X9" s="8">
        <f ca="1">(_xlfn.NORM.INV(RAND(),'Run and RBI Coeff'!$I$6,'Run and RBI Coeff'!$J$6))*Table3[[#This Row],[Homeruns (HR)]]</f>
        <v>0</v>
      </c>
      <c r="Y9" s="8">
        <f ca="1">_xlfn.NORM.INV(RAND(),'Run and RBI Coeff'!$B$3,'Run and RBI Coeff'!$C$3)*Table3[[#This Row],[Singles (1B)]]</f>
        <v>2.1007100519532997</v>
      </c>
      <c r="Z9" s="8">
        <f ca="1">_xlfn.NORM.INV(RAND(),'Run and RBI Coeff'!$B$4,'Run and RBI Coeff'!$C$4)*Table3[[#This Row],[Doubles (2B)]]</f>
        <v>0.50754302570742471</v>
      </c>
      <c r="AA9" s="8">
        <f ca="1">_xlfn.NORM.INV(RAND(),'Run and RBI Coeff'!$B$5,'Run and RBI Coeff'!$C$5)*Table3[[#This Row],[Triples (3B)]]</f>
        <v>0</v>
      </c>
      <c r="AB9" s="8">
        <f ca="1">_xlfn.NORM.INV(RAND(),'Run and RBI Coeff'!$B$6,'Run and RBI Coeff'!$C$6)*Table3[[#This Row],[Homeruns (HR)]]</f>
        <v>0</v>
      </c>
      <c r="AC9" s="8">
        <f ca="1">_xlfn.NORM.INV(RAND(),'Run and RBI Coeff'!$B$7,'Run and RBI Coeff'!$C$7)*Table3[[#This Row],[Stolen Bases (SB)]]</f>
        <v>1.88873088574946</v>
      </c>
      <c r="AD9" s="8">
        <f ca="1">ROUND(((Table3[[#This Row],[Speed_Daring]]*5/100))*(Table3[[#This Row],[Singles (1B)]]+Table3[[#This Row],[Walks (BB)]]),0)</f>
        <v>5</v>
      </c>
      <c r="AE9" s="8" cm="1">
        <f t="array" ref="AE9">_xlfn.XLOOKUP(Table3[[#This Row],[Fielder Position]],Table6[[#All],[Position]],Table6[[#All],[p(Def Roll Err)]])+_xlfn.XLOOKUP(Table3[[#This Row],[Fielder Position]],Table6[[#All],[Position]],Table6[[#All],[p(Non-Hit Err)]])</f>
        <v>2.9166666666666664E-3</v>
      </c>
      <c r="AF9" s="8" cm="1">
        <f t="array" ref="AF9">_xlfn.IFS(ISNUMBER(FIND("P--",Table3[[#This Row],[Perks]])),-0.1,ISNUMBER(FIND("P-",Table3[[#This Row],[Perks]])),-0.05,ISNUMBER(FIND("P++",Table3[[#This Row],[Perks]])),0.1,ISNUMBER(FIND("P+",Table3[[#This Row],[Perks]])),0.05,0=0,0)</f>
        <v>0</v>
      </c>
      <c r="AG9" s="8">
        <f>IF(ISNUMBER(FIND("C+",Table3[[#This Row],[Perks]])),0.1,0)</f>
        <v>0</v>
      </c>
      <c r="AH9" s="8">
        <f>IF(ISNUMBER(FIND("C-",Table3[[#This Row],[Perks]])),(-0.03/4),0)</f>
        <v>0</v>
      </c>
      <c r="AI9" s="8" cm="1">
        <f t="array" ref="AI9">_xlfn.IFS(ISNUMBER(FIND("D-",Table3[[#This Row],[Perks]])),1.5,ISNUMBER(FIND("D+",Table3[[#This Row],[Perks]])),0.5,0=0,1)</f>
        <v>1</v>
      </c>
      <c r="AJ9" s="8" cm="1">
        <f t="array" ref="AJ9">_xlfn.IFS(ISNUMBER(FIND("S-",Table3[[#This Row],[Perks]])),(-2/8),ISNUMBER(FIND("S+",Table3[[#This Row],[Perks]])),(1/8),0=0,0)</f>
        <v>0</v>
      </c>
      <c r="AK9" s="8" cm="1">
        <f t="array" ref="AK9">_xlfn.IFS(ISNUMBER(FIND("S-",Table3[[#This Row],[Perks]])),ManagerialDaringSMinus,ISNUMBER(FIND("S+",Table3[[#This Row],[Perks]])),ManagerialDaringSPlus,0=0,ManagerialDaring)</f>
        <v>8</v>
      </c>
      <c r="AL9" s="8">
        <f>IF(ISNUMBER(FIND("S+",Table3[[#This Row],[Perks]])),0.05,0)</f>
        <v>0</v>
      </c>
      <c r="AM9" s="8" t="b">
        <f>IF(ISNUMBER(FIND("T+",Table3[[#This Row],[Perks]])),TRUE,FALSE)</f>
        <v>0</v>
      </c>
      <c r="AN9" s="8">
        <f>IF(ISNUMBER((FIND("DH",Table3[[#This Row],[Fielder Position]]))),1-StarterAttendance,1)</f>
        <v>1</v>
      </c>
    </row>
    <row r="10" spans="1:40" x14ac:dyDescent="0.25">
      <c r="A10" s="4" t="s">
        <v>22</v>
      </c>
      <c r="C10" t="s">
        <v>33</v>
      </c>
      <c r="D10" s="19">
        <v>17</v>
      </c>
      <c r="E10" s="20">
        <v>22</v>
      </c>
      <c r="F10" s="20"/>
      <c r="G10" s="2">
        <f ca="1">ROUND((_xlfn.NORM.INV(RAND(),_xlfn.XLOOKUP(Table3[[#This Row],[Lineup Position]],Table1[Lineup Position],Table1[ΔPA/GS]),_xlfn.XLOOKUP(Table3[[#This Row],[Lineup Position]],Table1[Lineup Position],Table1[StdDev])))*Table3[[#This Row],[Games]],0)</f>
        <v>47</v>
      </c>
      <c r="H10">
        <f ca="1">SUM(Table3[[#This Row],[Hits w/o Def - Crit]:[Crits]])-SUM(Table3[[#This Row],[Doubles (2B)]:[Homeruns (HR)]])</f>
        <v>4</v>
      </c>
      <c r="I10">
        <f ca="1">_xlfn.BINOM.INV(Table3[[#This Row],[Hits w/o Def - Crit]],0.2+Table3[[#This Row],[Contact+]]+Table3[[#This Row],[Speed_Hitting]],RAND())+_xlfn.BINOM.INV(Table3[[#This Row],[Crits]],0.7,RAND())</f>
        <v>3</v>
      </c>
      <c r="J10">
        <f ca="1">_xlfn.BINOM.INV(Table3[[#This Row],[Crits]],0.2+Table3[[#This Row],[Contact+]]+Table3[[#This Row],[Speed_Hitting]],RAND())+IF(Table3[[#This Row],[Speed_Hitting]]&gt;0,_xlfn.BINOM.INV(Table3[[#This Row],[Hits w/o Def - Crit]],Table3[[#This Row],[Speed_Hitting]],RAND()),0)</f>
        <v>0</v>
      </c>
      <c r="K10">
        <f ca="1">IF(Table3[[#This Row],[Power]]&lt;=-0.1,0,(_xlfn.BINOM.INV(Table3[[#This Row],[Hits w/o Def - Crit]],0.1+Table3[[#This Row],[Power]],RAND())+(_xlfn.BINOM.INV(Table3[[#This Row],[Crits]],0.1+Table3[[#This Row],[Power]]+Table3[[#This Row],[Speed_Hitting]],RAND()))))</f>
        <v>1</v>
      </c>
      <c r="L10">
        <v>3</v>
      </c>
      <c r="M10">
        <f ca="1">ROUND(SUM(Table3[[#This Row],[Singles-RBI]:[HR-RBI]]),0)</f>
        <v>4</v>
      </c>
      <c r="N10">
        <f ca="1">ROUND(SUM(Table3[[#This Row],[1B_Runs]:[SB_Runs]]),0)</f>
        <v>5</v>
      </c>
      <c r="O10">
        <f ca="1">_xlfn.BINOM.INV(Table3[[#This Row],[2B Steal Attempts]],(5/8)+Table3[[#This Row],[Speed_SB]],RAND())</f>
        <v>3</v>
      </c>
      <c r="P10">
        <f ca="1">Table3[[#This Row],[2B Steal Attempts]]-Table3[[#This Row],[Stolen Bases (SB)]]</f>
        <v>0</v>
      </c>
      <c r="Q10">
        <f ca="1">_xlfn.BINOM.INV((Table3[[#This Row],[Games]]*VisitingPAs*Table3[[#This Row],[Fielding]]),Table3[[#This Row],[p(Err)]]*Table3[[#This Row],[Defense]],RAND())</f>
        <v>2</v>
      </c>
      <c r="R10" s="7">
        <f>(((GamesPerSeason)*9)-SUM($R$2:$R$9))/5</f>
        <v>9.3599999999999959</v>
      </c>
      <c r="S10" s="8">
        <f ca="1">_xlfn.BINOM.INV(Table3[[#This Row],[PA]],(Table3[[#This Row],[BT]]/100-0.045+Table3[[#This Row],[Contact-]]),RAND())-Table3[[#This Row],[Crits]]</f>
        <v>7</v>
      </c>
      <c r="T10" s="8">
        <f ca="1">_xlfn.BINOM.INV(Table3[[#This Row],[PA]],0.04,RAND())</f>
        <v>1</v>
      </c>
      <c r="U10" s="8">
        <f ca="1">(_xlfn.NORM.INV(RAND(),'Run and RBI Coeff'!$I$3,'Run and RBI Coeff'!$J$3))*Table3[[#This Row],[Singles (1B)]]</f>
        <v>1.072277246535112</v>
      </c>
      <c r="V10" s="8">
        <f ca="1">(_xlfn.NORM.INV(RAND(),'Run and RBI Coeff'!$I$4,'Run and RBI Coeff'!$J$4))*Table3[[#This Row],[Doubles (2B)]]</f>
        <v>1.4670496763405785</v>
      </c>
      <c r="W10" s="8">
        <f ca="1">MAX((_xlfn.NORM.INV(RAND(),'Run and RBI Coeff'!$I$5,'Run and RBI Coeff'!$J$5))*Table3[[#This Row],[Triples (3B)]],0)</f>
        <v>0</v>
      </c>
      <c r="X10" s="8">
        <f ca="1">(_xlfn.NORM.INV(RAND(),'Run and RBI Coeff'!$I$6,'Run and RBI Coeff'!$J$6))*Table3[[#This Row],[Homeruns (HR)]]</f>
        <v>1.6738894088496183</v>
      </c>
      <c r="Y10" s="8">
        <f ca="1">_xlfn.NORM.INV(RAND(),'Run and RBI Coeff'!$B$3,'Run and RBI Coeff'!$C$3)*Table3[[#This Row],[Singles (1B)]]</f>
        <v>1.1321288328937875</v>
      </c>
      <c r="Z10" s="8">
        <f ca="1">_xlfn.NORM.INV(RAND(),'Run and RBI Coeff'!$B$4,'Run and RBI Coeff'!$C$4)*Table3[[#This Row],[Doubles (2B)]]</f>
        <v>1.4500972504449468</v>
      </c>
      <c r="AA10" s="8">
        <f ca="1">_xlfn.NORM.INV(RAND(),'Run and RBI Coeff'!$B$5,'Run and RBI Coeff'!$C$5)*Table3[[#This Row],[Triples (3B)]]</f>
        <v>0</v>
      </c>
      <c r="AB10" s="8">
        <f ca="1">_xlfn.NORM.INV(RAND(),'Run and RBI Coeff'!$B$6,'Run and RBI Coeff'!$C$6)*Table3[[#This Row],[Homeruns (HR)]]</f>
        <v>1.0000000011205332</v>
      </c>
      <c r="AC10" s="8">
        <f ca="1">_xlfn.NORM.INV(RAND(),'Run and RBI Coeff'!$B$7,'Run and RBI Coeff'!$C$7)*Table3[[#This Row],[Stolen Bases (SB)]]</f>
        <v>1.4657538676343163</v>
      </c>
      <c r="AD10" s="8">
        <f ca="1">ROUND(((Table3[[#This Row],[Speed_Daring]]*5/100))*(Table3[[#This Row],[Singles (1B)]]+Table3[[#This Row],[Walks (BB)]]),0)</f>
        <v>3</v>
      </c>
      <c r="AE10" s="8" cm="1">
        <f t="array" ref="AE10">_xlfn.XLOOKUP(Table3[[#This Row],[Fielder Position]],Table6[[#All],[Position]],Table6[[#All],[p(Def Roll Err)]])+_xlfn.XLOOKUP(Table3[[#This Row],[Fielder Position]],Table6[[#All],[Position]],Table6[[#All],[p(Non-Hit Err)]])</f>
        <v>2.9166666666666664E-3</v>
      </c>
      <c r="AF10" s="8" cm="1">
        <f t="array" ref="AF10">_xlfn.IFS(ISNUMBER(FIND("P--",Table3[[#This Row],[Perks]])),-0.1,ISNUMBER(FIND("P-",Table3[[#This Row],[Perks]])),-0.05,ISNUMBER(FIND("P++",Table3[[#This Row],[Perks]])),0.1,ISNUMBER(FIND("P+",Table3[[#This Row],[Perks]])),0.05,0=0,0)</f>
        <v>0</v>
      </c>
      <c r="AG10" s="8">
        <f>IF(ISNUMBER(FIND("C+",Table3[[#This Row],[Perks]])),0.1,0)</f>
        <v>0</v>
      </c>
      <c r="AH10" s="8">
        <f>IF(ISNUMBER(FIND("C-",Table3[[#This Row],[Perks]])),(-0.03/4),0)</f>
        <v>0</v>
      </c>
      <c r="AI10" s="8" cm="1">
        <f t="array" ref="AI10">_xlfn.IFS(ISNUMBER(FIND("D-",Table3[[#This Row],[Perks]])),1.5,ISNUMBER(FIND("D+",Table3[[#This Row],[Perks]])),0.5,0=0,1)</f>
        <v>1</v>
      </c>
      <c r="AJ10" s="8" cm="1">
        <f t="array" ref="AJ10">_xlfn.IFS(ISNUMBER(FIND("S-",Table3[[#This Row],[Perks]])),(-2/8),ISNUMBER(FIND("S+",Table3[[#This Row],[Perks]])),(1/8),0=0,0)</f>
        <v>0</v>
      </c>
      <c r="AK10" s="8" cm="1">
        <f t="array" ref="AK10">_xlfn.IFS(ISNUMBER(FIND("S-",Table3[[#This Row],[Perks]])),ManagerialDaringSMinus,ISNUMBER(FIND("S+",Table3[[#This Row],[Perks]])),ManagerialDaringSPlus,0=0,ManagerialDaring)</f>
        <v>8</v>
      </c>
      <c r="AL10" s="8">
        <f>IF(ISNUMBER(FIND("S+",Table3[[#This Row],[Perks]])),0.05,0)</f>
        <v>0</v>
      </c>
      <c r="AM10" s="8" t="b">
        <f>IF(ISNUMBER(FIND("T+",Table3[[#This Row],[Perks]])),TRUE,FALSE)</f>
        <v>0</v>
      </c>
      <c r="AN10" s="8">
        <f>IF(ISNUMBER((FIND("DH",Table3[[#This Row],[Fielder Position]]))),1-StarterAttendance,1)</f>
        <v>1</v>
      </c>
    </row>
    <row r="11" spans="1:40" x14ac:dyDescent="0.25">
      <c r="A11" s="4" t="s">
        <v>22</v>
      </c>
      <c r="C11" t="s">
        <v>33</v>
      </c>
      <c r="D11" s="19">
        <v>19</v>
      </c>
      <c r="E11" s="20">
        <v>25</v>
      </c>
      <c r="F11" s="20"/>
      <c r="G11" s="2">
        <f ca="1">ROUND((_xlfn.NORM.INV(RAND(),_xlfn.XLOOKUP(Table3[[#This Row],[Lineup Position]],Table1[Lineup Position],Table1[ΔPA/GS]),_xlfn.XLOOKUP(Table3[[#This Row],[Lineup Position]],Table1[Lineup Position],Table1[StdDev])))*Table3[[#This Row],[Games]],0)</f>
        <v>41</v>
      </c>
      <c r="H11" t="e">
        <f ca="1">SUM(Table3[[#This Row],[Hits w/o Def - Crit]:[Crits]])-SUM(Table3[[#This Row],[Doubles (2B)]:[Homeruns (HR)]])</f>
        <v>#NUM!</v>
      </c>
      <c r="I11" t="e">
        <f ca="1">_xlfn.BINOM.INV(Table3[[#This Row],[Hits w/o Def - Crit]],0.2+Table3[[#This Row],[Contact+]]+Table3[[#This Row],[Speed_Hitting]],RAND())+_xlfn.BINOM.INV(Table3[[#This Row],[Crits]],0.7,RAND())</f>
        <v>#NUM!</v>
      </c>
      <c r="J11">
        <f ca="1">_xlfn.BINOM.INV(Table3[[#This Row],[Crits]],0.2+Table3[[#This Row],[Contact+]]+Table3[[#This Row],[Speed_Hitting]],RAND())+IF(Table3[[#This Row],[Speed_Hitting]]&gt;0,_xlfn.BINOM.INV(Table3[[#This Row],[Hits w/o Def - Crit]],Table3[[#This Row],[Speed_Hitting]],RAND()),0)</f>
        <v>0</v>
      </c>
      <c r="K11" t="e">
        <f ca="1">IF(Table3[[#This Row],[Power]]&lt;=-0.1,0,(_xlfn.BINOM.INV(Table3[[#This Row],[Hits w/o Def - Crit]],0.1+Table3[[#This Row],[Power]],RAND())+(_xlfn.BINOM.INV(Table3[[#This Row],[Crits]],0.1+Table3[[#This Row],[Power]]+Table3[[#This Row],[Speed_Hitting]],RAND()))))</f>
        <v>#NUM!</v>
      </c>
      <c r="L11">
        <v>0</v>
      </c>
      <c r="M11" t="e">
        <f ca="1">ROUND(SUM(Table3[[#This Row],[Singles-RBI]:[HR-RBI]]),0)</f>
        <v>#NUM!</v>
      </c>
      <c r="N11" t="e">
        <f ca="1">ROUND(SUM(Table3[[#This Row],[1B_Runs]:[SB_Runs]]),0)</f>
        <v>#NUM!</v>
      </c>
      <c r="O11" t="e">
        <f ca="1">_xlfn.BINOM.INV(Table3[[#This Row],[2B Steal Attempts]],(5/8)+Table3[[#This Row],[Speed_SB]],RAND())</f>
        <v>#NUM!</v>
      </c>
      <c r="P11" t="e">
        <f ca="1">Table3[[#This Row],[2B Steal Attempts]]-Table3[[#This Row],[Stolen Bases (SB)]]</f>
        <v>#NUM!</v>
      </c>
      <c r="Q11">
        <f ca="1">_xlfn.BINOM.INV((Table3[[#This Row],[Games]]*VisitingPAs*Table3[[#This Row],[Fielding]]),Table3[[#This Row],[p(Err)]]*Table3[[#This Row],[Defense]],RAND())</f>
        <v>0</v>
      </c>
      <c r="R11" s="7">
        <f>(((GamesPerSeason)*9)-SUM($R$2:$R$9))/5</f>
        <v>9.3599999999999959</v>
      </c>
      <c r="S11" s="8">
        <f ca="1">_xlfn.BINOM.INV(Table3[[#This Row],[PA]],(Table3[[#This Row],[BT]]/100-0.045+Table3[[#This Row],[Contact-]]),RAND())-Table3[[#This Row],[Crits]]</f>
        <v>-1</v>
      </c>
      <c r="T11" s="8">
        <f ca="1">_xlfn.BINOM.INV(Table3[[#This Row],[PA]],0.04,RAND())</f>
        <v>4</v>
      </c>
      <c r="U11" s="8" t="e">
        <f ca="1">(_xlfn.NORM.INV(RAND(),'Run and RBI Coeff'!$I$3,'Run and RBI Coeff'!$J$3))*Table3[[#This Row],[Singles (1B)]]</f>
        <v>#NUM!</v>
      </c>
      <c r="V11" s="8" t="e">
        <f ca="1">(_xlfn.NORM.INV(RAND(),'Run and RBI Coeff'!$I$4,'Run and RBI Coeff'!$J$4))*Table3[[#This Row],[Doubles (2B)]]</f>
        <v>#NUM!</v>
      </c>
      <c r="W11" s="8">
        <f ca="1">MAX((_xlfn.NORM.INV(RAND(),'Run and RBI Coeff'!$I$5,'Run and RBI Coeff'!$J$5))*Table3[[#This Row],[Triples (3B)]],0)</f>
        <v>0</v>
      </c>
      <c r="X11" s="8" t="e">
        <f ca="1">(_xlfn.NORM.INV(RAND(),'Run and RBI Coeff'!$I$6,'Run and RBI Coeff'!$J$6))*Table3[[#This Row],[Homeruns (HR)]]</f>
        <v>#NUM!</v>
      </c>
      <c r="Y11" s="8" t="e">
        <f ca="1">_xlfn.NORM.INV(RAND(),'Run and RBI Coeff'!$B$3,'Run and RBI Coeff'!$C$3)*Table3[[#This Row],[Singles (1B)]]</f>
        <v>#NUM!</v>
      </c>
      <c r="Z11" s="8" t="e">
        <f ca="1">_xlfn.NORM.INV(RAND(),'Run and RBI Coeff'!$B$4,'Run and RBI Coeff'!$C$4)*Table3[[#This Row],[Doubles (2B)]]</f>
        <v>#NUM!</v>
      </c>
      <c r="AA11" s="8">
        <f ca="1">_xlfn.NORM.INV(RAND(),'Run and RBI Coeff'!$B$5,'Run and RBI Coeff'!$C$5)*Table3[[#This Row],[Triples (3B)]]</f>
        <v>0</v>
      </c>
      <c r="AB11" s="8" t="e">
        <f ca="1">_xlfn.NORM.INV(RAND(),'Run and RBI Coeff'!$B$6,'Run and RBI Coeff'!$C$6)*Table3[[#This Row],[Homeruns (HR)]]</f>
        <v>#NUM!</v>
      </c>
      <c r="AC11" s="8" t="e">
        <f ca="1">_xlfn.NORM.INV(RAND(),'Run and RBI Coeff'!$B$7,'Run and RBI Coeff'!$C$7)*Table3[[#This Row],[Stolen Bases (SB)]]</f>
        <v>#NUM!</v>
      </c>
      <c r="AD11" s="8" t="e">
        <f ca="1">ROUND(((Table3[[#This Row],[Speed_Daring]]*5/100))*(Table3[[#This Row],[Singles (1B)]]+Table3[[#This Row],[Walks (BB)]]),0)</f>
        <v>#NUM!</v>
      </c>
      <c r="AE11" s="8" cm="1">
        <f t="array" ref="AE11">_xlfn.XLOOKUP(Table3[[#This Row],[Fielder Position]],Table6[[#All],[Position]],Table6[[#All],[p(Def Roll Err)]])+_xlfn.XLOOKUP(Table3[[#This Row],[Fielder Position]],Table6[[#All],[Position]],Table6[[#All],[p(Non-Hit Err)]])</f>
        <v>2.9166666666666664E-3</v>
      </c>
      <c r="AF11" s="8" cm="1">
        <f t="array" ref="AF11">_xlfn.IFS(ISNUMBER(FIND("P--",Table3[[#This Row],[Perks]])),-0.1,ISNUMBER(FIND("P-",Table3[[#This Row],[Perks]])),-0.05,ISNUMBER(FIND("P++",Table3[[#This Row],[Perks]])),0.1,ISNUMBER(FIND("P+",Table3[[#This Row],[Perks]])),0.05,0=0,0)</f>
        <v>0</v>
      </c>
      <c r="AG11" s="8">
        <f>IF(ISNUMBER(FIND("C+",Table3[[#This Row],[Perks]])),0.1,0)</f>
        <v>0</v>
      </c>
      <c r="AH11" s="8">
        <f>IF(ISNUMBER(FIND("C-",Table3[[#This Row],[Perks]])),(-0.03/4),0)</f>
        <v>0</v>
      </c>
      <c r="AI11" s="8" cm="1">
        <f t="array" ref="AI11">_xlfn.IFS(ISNUMBER(FIND("D-",Table3[[#This Row],[Perks]])),1.5,ISNUMBER(FIND("D+",Table3[[#This Row],[Perks]])),0.5,0=0,1)</f>
        <v>1</v>
      </c>
      <c r="AJ11" s="8" cm="1">
        <f t="array" ref="AJ11">_xlfn.IFS(ISNUMBER(FIND("S-",Table3[[#This Row],[Perks]])),(-2/8),ISNUMBER(FIND("S+",Table3[[#This Row],[Perks]])),(1/8),0=0,0)</f>
        <v>0</v>
      </c>
      <c r="AK11" s="8" cm="1">
        <f t="array" ref="AK11">_xlfn.IFS(ISNUMBER(FIND("S-",Table3[[#This Row],[Perks]])),ManagerialDaringSMinus,ISNUMBER(FIND("S+",Table3[[#This Row],[Perks]])),ManagerialDaringSPlus,0=0,ManagerialDaring)</f>
        <v>8</v>
      </c>
      <c r="AL11" s="8">
        <f>IF(ISNUMBER(FIND("S+",Table3[[#This Row],[Perks]])),0.05,0)</f>
        <v>0</v>
      </c>
      <c r="AM11" s="8" t="b">
        <f>IF(ISNUMBER(FIND("T+",Table3[[#This Row],[Perks]])),TRUE,FALSE)</f>
        <v>0</v>
      </c>
      <c r="AN11" s="8">
        <f>IF(ISNUMBER((FIND("DH",Table3[[#This Row],[Fielder Position]]))),1-StarterAttendance,1)</f>
        <v>1</v>
      </c>
    </row>
    <row r="12" spans="1:40" x14ac:dyDescent="0.25">
      <c r="A12" s="4" t="s">
        <v>22</v>
      </c>
      <c r="C12" t="s">
        <v>32</v>
      </c>
      <c r="D12" s="19">
        <v>25</v>
      </c>
      <c r="E12" s="20">
        <v>33</v>
      </c>
      <c r="F12" s="20" t="s">
        <v>111</v>
      </c>
      <c r="G12" s="2">
        <f ca="1">ROUND((_xlfn.NORM.INV(RAND(),_xlfn.XLOOKUP(Table3[[#This Row],[Lineup Position]],Table1[Lineup Position],Table1[ΔPA/GS]),_xlfn.XLOOKUP(Table3[[#This Row],[Lineup Position]],Table1[Lineup Position],Table1[StdDev])))*Table3[[#This Row],[Games]],0)</f>
        <v>41</v>
      </c>
      <c r="H12">
        <f ca="1">SUM(Table3[[#This Row],[Hits w/o Def - Crit]:[Crits]])-SUM(Table3[[#This Row],[Doubles (2B)]:[Homeruns (HR)]])</f>
        <v>8</v>
      </c>
      <c r="I12">
        <f ca="1">_xlfn.BINOM.INV(Table3[[#This Row],[Hits w/o Def - Crit]],0.2+Table3[[#This Row],[Contact+]]+Table3[[#This Row],[Speed_Hitting]],RAND())+_xlfn.BINOM.INV(Table3[[#This Row],[Crits]],0.7,RAND())</f>
        <v>4</v>
      </c>
      <c r="J12">
        <f ca="1">_xlfn.BINOM.INV(Table3[[#This Row],[Crits]],0.2+Table3[[#This Row],[Contact+]]+Table3[[#This Row],[Speed_Hitting]],RAND())+IF(Table3[[#This Row],[Speed_Hitting]]&gt;0,_xlfn.BINOM.INV(Table3[[#This Row],[Hits w/o Def - Crit]],Table3[[#This Row],[Speed_Hitting]],RAND()),0)</f>
        <v>0</v>
      </c>
      <c r="K12">
        <f ca="1">IF(Table3[[#This Row],[Power]]&lt;=-0.1,0,(_xlfn.BINOM.INV(Table3[[#This Row],[Hits w/o Def - Crit]],0.1+Table3[[#This Row],[Power]],RAND())+(_xlfn.BINOM.INV(Table3[[#This Row],[Crits]],0.1+Table3[[#This Row],[Power]]+Table3[[#This Row],[Speed_Hitting]],RAND()))))</f>
        <v>0</v>
      </c>
      <c r="L12">
        <v>1</v>
      </c>
      <c r="M12">
        <f ca="1">ROUND(SUM(Table3[[#This Row],[Singles-RBI]:[HR-RBI]]),0)</f>
        <v>4</v>
      </c>
      <c r="N12">
        <f ca="1">ROUND(SUM(Table3[[#This Row],[1B_Runs]:[SB_Runs]]),0)</f>
        <v>6</v>
      </c>
      <c r="O12">
        <f ca="1">_xlfn.BINOM.INV(Table3[[#This Row],[2B Steal Attempts]],(5/8)+Table3[[#This Row],[Speed_SB]],RAND())</f>
        <v>3</v>
      </c>
      <c r="P12">
        <f ca="1">Table3[[#This Row],[2B Steal Attempts]]-Table3[[#This Row],[Stolen Bases (SB)]]</f>
        <v>1</v>
      </c>
      <c r="Q12">
        <f ca="1">_xlfn.BINOM.INV((Table3[[#This Row],[Games]]*VisitingPAs*Table3[[#This Row],[Fielding]]),Table3[[#This Row],[p(Err)]]*Table3[[#This Row],[Defense]],RAND())</f>
        <v>0</v>
      </c>
      <c r="R12" s="7">
        <f>(((GamesPerSeason)*9)-SUM($R$2:$R$9))/5</f>
        <v>9.3599999999999959</v>
      </c>
      <c r="S12" s="8">
        <f ca="1">_xlfn.BINOM.INV(Table3[[#This Row],[PA]],(Table3[[#This Row],[BT]]/100-0.045+Table3[[#This Row],[Contact-]]),RAND())-Table3[[#This Row],[Crits]]</f>
        <v>11</v>
      </c>
      <c r="T12" s="8">
        <f ca="1">_xlfn.BINOM.INV(Table3[[#This Row],[PA]],0.04,RAND())</f>
        <v>1</v>
      </c>
      <c r="U12" s="8">
        <f ca="1">(_xlfn.NORM.INV(RAND(),'Run and RBI Coeff'!$I$3,'Run and RBI Coeff'!$J$3))*Table3[[#This Row],[Singles (1B)]]</f>
        <v>2.2265536674872122</v>
      </c>
      <c r="V12" s="8">
        <f ca="1">(_xlfn.NORM.INV(RAND(),'Run and RBI Coeff'!$I$4,'Run and RBI Coeff'!$J$4))*Table3[[#This Row],[Doubles (2B)]]</f>
        <v>2.0585834065333097</v>
      </c>
      <c r="W12" s="8">
        <f ca="1">MAX((_xlfn.NORM.INV(RAND(),'Run and RBI Coeff'!$I$5,'Run and RBI Coeff'!$J$5))*Table3[[#This Row],[Triples (3B)]],0)</f>
        <v>0</v>
      </c>
      <c r="X12" s="8">
        <f ca="1">(_xlfn.NORM.INV(RAND(),'Run and RBI Coeff'!$I$6,'Run and RBI Coeff'!$J$6))*Table3[[#This Row],[Homeruns (HR)]]</f>
        <v>0</v>
      </c>
      <c r="Y12" s="8">
        <f ca="1">_xlfn.NORM.INV(RAND(),'Run and RBI Coeff'!$B$3,'Run and RBI Coeff'!$C$3)*Table3[[#This Row],[Singles (1B)]]</f>
        <v>2.2319498599196175</v>
      </c>
      <c r="Z12" s="8">
        <f ca="1">_xlfn.NORM.INV(RAND(),'Run and RBI Coeff'!$B$4,'Run and RBI Coeff'!$C$4)*Table3[[#This Row],[Doubles (2B)]]</f>
        <v>2.6990484575843854</v>
      </c>
      <c r="AA12" s="8">
        <f ca="1">_xlfn.NORM.INV(RAND(),'Run and RBI Coeff'!$B$5,'Run and RBI Coeff'!$C$5)*Table3[[#This Row],[Triples (3B)]]</f>
        <v>0</v>
      </c>
      <c r="AB12" s="8">
        <f ca="1">_xlfn.NORM.INV(RAND(),'Run and RBI Coeff'!$B$6,'Run and RBI Coeff'!$C$6)*Table3[[#This Row],[Homeruns (HR)]]</f>
        <v>0</v>
      </c>
      <c r="AC12" s="8">
        <f ca="1">_xlfn.NORM.INV(RAND(),'Run and RBI Coeff'!$B$7,'Run and RBI Coeff'!$C$7)*Table3[[#This Row],[Stolen Bases (SB)]]</f>
        <v>1.2638970282185995</v>
      </c>
      <c r="AD12" s="8">
        <f ca="1">ROUND(((Table3[[#This Row],[Speed_Daring]]*5/100))*(Table3[[#This Row],[Singles (1B)]]+Table3[[#This Row],[Walks (BB)]]),0)</f>
        <v>4</v>
      </c>
      <c r="AE12" s="8" cm="1">
        <f t="array" ref="AE12">_xlfn.XLOOKUP(Table3[[#This Row],[Fielder Position]],Table6[[#All],[Position]],Table6[[#All],[p(Def Roll Err)]])+_xlfn.XLOOKUP(Table3[[#This Row],[Fielder Position]],Table6[[#All],[Position]],Table6[[#All],[p(Non-Hit Err)]])</f>
        <v>3.3333333333333331E-3</v>
      </c>
      <c r="AF12" s="8" cm="1">
        <f t="array" ref="AF12">_xlfn.IFS(ISNUMBER(FIND("P--",Table3[[#This Row],[Perks]])),-0.1,ISNUMBER(FIND("P-",Table3[[#This Row],[Perks]])),-0.05,ISNUMBER(FIND("P++",Table3[[#This Row],[Perks]])),0.1,ISNUMBER(FIND("P+",Table3[[#This Row],[Perks]])),0.05,0=0,0)</f>
        <v>0</v>
      </c>
      <c r="AG12" s="8">
        <f>IF(ISNUMBER(FIND("C+",Table3[[#This Row],[Perks]])),0.1,0)</f>
        <v>0</v>
      </c>
      <c r="AH12" s="8">
        <f>IF(ISNUMBER(FIND("C-",Table3[[#This Row],[Perks]])),(-0.03/4),0)</f>
        <v>0</v>
      </c>
      <c r="AI12" s="8" cm="1">
        <f t="array" ref="AI12">_xlfn.IFS(ISNUMBER(FIND("D-",Table3[[#This Row],[Perks]])),1.5,ISNUMBER(FIND("D+",Table3[[#This Row],[Perks]])),0.5,0=0,1)</f>
        <v>0.5</v>
      </c>
      <c r="AJ12" s="8" cm="1">
        <f t="array" ref="AJ12">_xlfn.IFS(ISNUMBER(FIND("S-",Table3[[#This Row],[Perks]])),(-2/8),ISNUMBER(FIND("S+",Table3[[#This Row],[Perks]])),(1/8),0=0,0)</f>
        <v>0</v>
      </c>
      <c r="AK12" s="8" cm="1">
        <f t="array" ref="AK12">_xlfn.IFS(ISNUMBER(FIND("S-",Table3[[#This Row],[Perks]])),ManagerialDaringSMinus,ISNUMBER(FIND("S+",Table3[[#This Row],[Perks]])),ManagerialDaringSPlus,0=0,ManagerialDaring)</f>
        <v>8</v>
      </c>
      <c r="AL12" s="8">
        <f>IF(ISNUMBER(FIND("S+",Table3[[#This Row],[Perks]])),0.05,0)</f>
        <v>0</v>
      </c>
      <c r="AM12" s="8" t="b">
        <f>IF(ISNUMBER(FIND("T+",Table3[[#This Row],[Perks]])),TRUE,FALSE)</f>
        <v>0</v>
      </c>
      <c r="AN12" s="8">
        <f>IF(ISNUMBER((FIND("DH",Table3[[#This Row],[Fielder Position]]))),1-StarterAttendance,1)</f>
        <v>1</v>
      </c>
    </row>
    <row r="13" spans="1:40" x14ac:dyDescent="0.25">
      <c r="A13" s="4" t="s">
        <v>22</v>
      </c>
      <c r="C13" t="s">
        <v>32</v>
      </c>
      <c r="D13" s="19">
        <v>20</v>
      </c>
      <c r="E13" s="20">
        <v>28</v>
      </c>
      <c r="F13" s="20"/>
      <c r="G13" s="2">
        <f ca="1">ROUND((_xlfn.NORM.INV(RAND(),_xlfn.XLOOKUP(Table3[[#This Row],[Lineup Position]],Table1[Lineup Position],Table1[ΔPA/GS]),_xlfn.XLOOKUP(Table3[[#This Row],[Lineup Position]],Table1[Lineup Position],Table1[StdDev])))*Table3[[#This Row],[Games]],0)</f>
        <v>46</v>
      </c>
      <c r="H13">
        <f ca="1">SUM(Table3[[#This Row],[Hits w/o Def - Crit]:[Crits]])-SUM(Table3[[#This Row],[Doubles (2B)]:[Homeruns (HR)]])</f>
        <v>6</v>
      </c>
      <c r="I13">
        <f ca="1">_xlfn.BINOM.INV(Table3[[#This Row],[Hits w/o Def - Crit]],0.2+Table3[[#This Row],[Contact+]]+Table3[[#This Row],[Speed_Hitting]],RAND())+_xlfn.BINOM.INV(Table3[[#This Row],[Crits]],0.7,RAND())</f>
        <v>1</v>
      </c>
      <c r="J13">
        <f ca="1">_xlfn.BINOM.INV(Table3[[#This Row],[Crits]],0.2+Table3[[#This Row],[Contact+]]+Table3[[#This Row],[Speed_Hitting]],RAND())+IF(Table3[[#This Row],[Speed_Hitting]]&gt;0,_xlfn.BINOM.INV(Table3[[#This Row],[Hits w/o Def - Crit]],Table3[[#This Row],[Speed_Hitting]],RAND()),0)</f>
        <v>1</v>
      </c>
      <c r="K13">
        <f ca="1">IF(Table3[[#This Row],[Power]]&lt;=-0.1,0,(_xlfn.BINOM.INV(Table3[[#This Row],[Hits w/o Def - Crit]],0.1+Table3[[#This Row],[Power]],RAND())+(_xlfn.BINOM.INV(Table3[[#This Row],[Crits]],0.1+Table3[[#This Row],[Power]]+Table3[[#This Row],[Speed_Hitting]],RAND()))))</f>
        <v>0</v>
      </c>
      <c r="L13">
        <v>2</v>
      </c>
      <c r="M13">
        <f ca="1">ROUND(SUM(Table3[[#This Row],[Singles-RBI]:[HR-RBI]]),0)</f>
        <v>3</v>
      </c>
      <c r="N13">
        <f ca="1">ROUND(SUM(Table3[[#This Row],[1B_Runs]:[SB_Runs]]),0)</f>
        <v>4</v>
      </c>
      <c r="O13">
        <f ca="1">_xlfn.BINOM.INV(Table3[[#This Row],[2B Steal Attempts]],(5/8)+Table3[[#This Row],[Speed_SB]],RAND())</f>
        <v>2</v>
      </c>
      <c r="P13">
        <f ca="1">Table3[[#This Row],[2B Steal Attempts]]-Table3[[#This Row],[Stolen Bases (SB)]]</f>
        <v>1</v>
      </c>
      <c r="Q13">
        <f ca="1">_xlfn.BINOM.INV((Table3[[#This Row],[Games]]*VisitingPAs*Table3[[#This Row],[Fielding]]),Table3[[#This Row],[p(Err)]]*Table3[[#This Row],[Defense]],RAND())</f>
        <v>1</v>
      </c>
      <c r="R13" s="7">
        <f>(((GamesPerSeason)*9)-SUM($R$2:$R$9))/5</f>
        <v>9.3599999999999959</v>
      </c>
      <c r="S13" s="8">
        <f ca="1">_xlfn.BINOM.INV(Table3[[#This Row],[PA]],(Table3[[#This Row],[BT]]/100-0.045+Table3[[#This Row],[Contact-]]),RAND())-Table3[[#This Row],[Crits]]</f>
        <v>6</v>
      </c>
      <c r="T13" s="8">
        <f ca="1">_xlfn.BINOM.INV(Table3[[#This Row],[PA]],0.04,RAND())</f>
        <v>2</v>
      </c>
      <c r="U13" s="8">
        <f ca="1">(_xlfn.NORM.INV(RAND(),'Run and RBI Coeff'!$I$3,'Run and RBI Coeff'!$J$3))*Table3[[#This Row],[Singles (1B)]]</f>
        <v>1.2918320308206557</v>
      </c>
      <c r="V13" s="8">
        <f ca="1">(_xlfn.NORM.INV(RAND(),'Run and RBI Coeff'!$I$4,'Run and RBI Coeff'!$J$4))*Table3[[#This Row],[Doubles (2B)]]</f>
        <v>0.61816730430808209</v>
      </c>
      <c r="W13" s="8">
        <f ca="1">MAX((_xlfn.NORM.INV(RAND(),'Run and RBI Coeff'!$I$5,'Run and RBI Coeff'!$J$5))*Table3[[#This Row],[Triples (3B)]],0)</f>
        <v>0.89729550379812606</v>
      </c>
      <c r="X13" s="8">
        <f ca="1">(_xlfn.NORM.INV(RAND(),'Run and RBI Coeff'!$I$6,'Run and RBI Coeff'!$J$6))*Table3[[#This Row],[Homeruns (HR)]]</f>
        <v>0</v>
      </c>
      <c r="Y13" s="8">
        <f ca="1">_xlfn.NORM.INV(RAND(),'Run and RBI Coeff'!$B$3,'Run and RBI Coeff'!$C$3)*Table3[[#This Row],[Singles (1B)]]</f>
        <v>1.6028186351319622</v>
      </c>
      <c r="Z13" s="8">
        <f ca="1">_xlfn.NORM.INV(RAND(),'Run and RBI Coeff'!$B$4,'Run and RBI Coeff'!$C$4)*Table3[[#This Row],[Doubles (2B)]]</f>
        <v>0.51474830381308967</v>
      </c>
      <c r="AA13" s="8">
        <f ca="1">_xlfn.NORM.INV(RAND(),'Run and RBI Coeff'!$B$5,'Run and RBI Coeff'!$C$5)*Table3[[#This Row],[Triples (3B)]]</f>
        <v>0.74449777905345804</v>
      </c>
      <c r="AB13" s="8">
        <f ca="1">_xlfn.NORM.INV(RAND(),'Run and RBI Coeff'!$B$6,'Run and RBI Coeff'!$C$6)*Table3[[#This Row],[Homeruns (HR)]]</f>
        <v>0</v>
      </c>
      <c r="AC13" s="8">
        <f ca="1">_xlfn.NORM.INV(RAND(),'Run and RBI Coeff'!$B$7,'Run and RBI Coeff'!$C$7)*Table3[[#This Row],[Stolen Bases (SB)]]</f>
        <v>0.97352732735103442</v>
      </c>
      <c r="AD13" s="8">
        <f ca="1">ROUND(((Table3[[#This Row],[Speed_Daring]]*5/100))*(Table3[[#This Row],[Singles (1B)]]+Table3[[#This Row],[Walks (BB)]]),0)</f>
        <v>3</v>
      </c>
      <c r="AE13" s="8" cm="1">
        <f t="array" ref="AE13">_xlfn.XLOOKUP(Table3[[#This Row],[Fielder Position]],Table6[[#All],[Position]],Table6[[#All],[p(Def Roll Err)]])+_xlfn.XLOOKUP(Table3[[#This Row],[Fielder Position]],Table6[[#All],[Position]],Table6[[#All],[p(Non-Hit Err)]])</f>
        <v>3.3333333333333331E-3</v>
      </c>
      <c r="AF13" s="8" cm="1">
        <f t="array" ref="AF13">_xlfn.IFS(ISNUMBER(FIND("P--",Table3[[#This Row],[Perks]])),-0.1,ISNUMBER(FIND("P-",Table3[[#This Row],[Perks]])),-0.05,ISNUMBER(FIND("P++",Table3[[#This Row],[Perks]])),0.1,ISNUMBER(FIND("P+",Table3[[#This Row],[Perks]])),0.05,0=0,0)</f>
        <v>0</v>
      </c>
      <c r="AG13" s="8">
        <f>IF(ISNUMBER(FIND("C+",Table3[[#This Row],[Perks]])),0.1,0)</f>
        <v>0</v>
      </c>
      <c r="AH13" s="8">
        <f>IF(ISNUMBER(FIND("C-",Table3[[#This Row],[Perks]])),(-0.03/4),0)</f>
        <v>0</v>
      </c>
      <c r="AI13" s="8" cm="1">
        <f t="array" ref="AI13">_xlfn.IFS(ISNUMBER(FIND("D-",Table3[[#This Row],[Perks]])),1.5,ISNUMBER(FIND("D+",Table3[[#This Row],[Perks]])),0.5,0=0,1)</f>
        <v>1</v>
      </c>
      <c r="AJ13" s="8" cm="1">
        <f t="array" ref="AJ13">_xlfn.IFS(ISNUMBER(FIND("S-",Table3[[#This Row],[Perks]])),(-2/8),ISNUMBER(FIND("S+",Table3[[#This Row],[Perks]])),(1/8),0=0,0)</f>
        <v>0</v>
      </c>
      <c r="AK13" s="8" cm="1">
        <f t="array" ref="AK13">_xlfn.IFS(ISNUMBER(FIND("S-",Table3[[#This Row],[Perks]])),ManagerialDaringSMinus,ISNUMBER(FIND("S+",Table3[[#This Row],[Perks]])),ManagerialDaringSPlus,0=0,ManagerialDaring)</f>
        <v>8</v>
      </c>
      <c r="AL13" s="8">
        <f>IF(ISNUMBER(FIND("S+",Table3[[#This Row],[Perks]])),0.05,0)</f>
        <v>0</v>
      </c>
      <c r="AM13" s="8" t="b">
        <f>IF(ISNUMBER(FIND("T+",Table3[[#This Row],[Perks]])),TRUE,FALSE)</f>
        <v>0</v>
      </c>
      <c r="AN13" s="8">
        <f>IF(ISNUMBER((FIND("DH",Table3[[#This Row],[Fielder Position]]))),1-StarterAttendance,1)</f>
        <v>1</v>
      </c>
    </row>
    <row r="14" spans="1:40" x14ac:dyDescent="0.25">
      <c r="A14" s="4" t="s">
        <v>22</v>
      </c>
      <c r="C14" t="s">
        <v>23</v>
      </c>
      <c r="D14" s="19">
        <v>24</v>
      </c>
      <c r="E14" s="20">
        <v>29</v>
      </c>
      <c r="F14" s="20"/>
      <c r="G14" s="2">
        <f ca="1">ROUND((_xlfn.NORM.INV(RAND(),_xlfn.XLOOKUP(Table3[[#This Row],[Lineup Position]],Table1[Lineup Position],Table1[ΔPA/GS]),_xlfn.XLOOKUP(Table3[[#This Row],[Lineup Position]],Table1[Lineup Position],Table1[StdDev])))*Table3[[#This Row],[Games]],0)</f>
        <v>42</v>
      </c>
      <c r="H14">
        <f ca="1">SUM(Table3[[#This Row],[Hits w/o Def - Crit]:[Crits]])-SUM(Table3[[#This Row],[Doubles (2B)]:[Homeruns (HR)]])</f>
        <v>8</v>
      </c>
      <c r="I14">
        <f ca="1">_xlfn.BINOM.INV(Table3[[#This Row],[Hits w/o Def - Crit]],0.2+Table3[[#This Row],[Contact+]]+Table3[[#This Row],[Speed_Hitting]],RAND())+_xlfn.BINOM.INV(Table3[[#This Row],[Crits]],0.7,RAND())</f>
        <v>1</v>
      </c>
      <c r="J14">
        <f ca="1">_xlfn.BINOM.INV(Table3[[#This Row],[Crits]],0.2+Table3[[#This Row],[Contact+]]+Table3[[#This Row],[Speed_Hitting]],RAND())+IF(Table3[[#This Row],[Speed_Hitting]]&gt;0,_xlfn.BINOM.INV(Table3[[#This Row],[Hits w/o Def - Crit]],Table3[[#This Row],[Speed_Hitting]],RAND()),0)</f>
        <v>0</v>
      </c>
      <c r="K14">
        <f ca="1">IF(Table3[[#This Row],[Power]]&lt;=-0.1,0,(_xlfn.BINOM.INV(Table3[[#This Row],[Hits w/o Def - Crit]],0.1+Table3[[#This Row],[Power]],RAND())+(_xlfn.BINOM.INV(Table3[[#This Row],[Crits]],0.1+Table3[[#This Row],[Power]]+Table3[[#This Row],[Speed_Hitting]],RAND()))))</f>
        <v>0</v>
      </c>
      <c r="L14">
        <v>0</v>
      </c>
      <c r="M14">
        <f ca="1">ROUND(SUM(Table3[[#This Row],[Singles-RBI]:[HR-RBI]]),0)</f>
        <v>3</v>
      </c>
      <c r="N14">
        <f ca="1">ROUND(SUM(Table3[[#This Row],[1B_Runs]:[SB_Runs]]),0)</f>
        <v>4</v>
      </c>
      <c r="O14">
        <f ca="1">_xlfn.BINOM.INV(Table3[[#This Row],[2B Steal Attempts]],(5/8)+Table3[[#This Row],[Speed_SB]],RAND())</f>
        <v>2</v>
      </c>
      <c r="P14">
        <f ca="1">Table3[[#This Row],[2B Steal Attempts]]-Table3[[#This Row],[Stolen Bases (SB)]]</f>
        <v>1</v>
      </c>
      <c r="Q14">
        <f ca="1">_xlfn.BINOM.INV((Table3[[#This Row],[Games]]*VisitingPAs*Table3[[#This Row],[Fielding]]),Table3[[#This Row],[p(Err)]]*Table3[[#This Row],[Defense]],RAND())</f>
        <v>1</v>
      </c>
      <c r="R14" s="7">
        <f>(((GamesPerSeason)*9)-SUM($R$2:$R$9))/5</f>
        <v>9.3599999999999959</v>
      </c>
      <c r="S14" s="8">
        <f ca="1">_xlfn.BINOM.INV(Table3[[#This Row],[PA]],(Table3[[#This Row],[BT]]/100-0.045+Table3[[#This Row],[Contact-]]),RAND())-Table3[[#This Row],[Crits]]</f>
        <v>8</v>
      </c>
      <c r="T14" s="8">
        <f ca="1">_xlfn.BINOM.INV(Table3[[#This Row],[PA]],0.04,RAND())</f>
        <v>1</v>
      </c>
      <c r="U14" s="8">
        <f ca="1">(_xlfn.NORM.INV(RAND(),'Run and RBI Coeff'!$I$3,'Run and RBI Coeff'!$J$3))*Table3[[#This Row],[Singles (1B)]]</f>
        <v>2.0335693191809918</v>
      </c>
      <c r="V14" s="8">
        <f ca="1">(_xlfn.NORM.INV(RAND(),'Run and RBI Coeff'!$I$4,'Run and RBI Coeff'!$J$4))*Table3[[#This Row],[Doubles (2B)]]</f>
        <v>0.5743574309765177</v>
      </c>
      <c r="W14" s="8">
        <f ca="1">MAX((_xlfn.NORM.INV(RAND(),'Run and RBI Coeff'!$I$5,'Run and RBI Coeff'!$J$5))*Table3[[#This Row],[Triples (3B)]],0)</f>
        <v>0</v>
      </c>
      <c r="X14" s="8">
        <f ca="1">(_xlfn.NORM.INV(RAND(),'Run and RBI Coeff'!$I$6,'Run and RBI Coeff'!$J$6))*Table3[[#This Row],[Homeruns (HR)]]</f>
        <v>0</v>
      </c>
      <c r="Y14" s="8">
        <f ca="1">_xlfn.NORM.INV(RAND(),'Run and RBI Coeff'!$B$3,'Run and RBI Coeff'!$C$3)*Table3[[#This Row],[Singles (1B)]]</f>
        <v>2.3244335107347736</v>
      </c>
      <c r="Z14" s="8">
        <f ca="1">_xlfn.NORM.INV(RAND(),'Run and RBI Coeff'!$B$4,'Run and RBI Coeff'!$C$4)*Table3[[#This Row],[Doubles (2B)]]</f>
        <v>0.59059386160427341</v>
      </c>
      <c r="AA14" s="8">
        <f ca="1">_xlfn.NORM.INV(RAND(),'Run and RBI Coeff'!$B$5,'Run and RBI Coeff'!$C$5)*Table3[[#This Row],[Triples (3B)]]</f>
        <v>0</v>
      </c>
      <c r="AB14" s="8">
        <f ca="1">_xlfn.NORM.INV(RAND(),'Run and RBI Coeff'!$B$6,'Run and RBI Coeff'!$C$6)*Table3[[#This Row],[Homeruns (HR)]]</f>
        <v>0</v>
      </c>
      <c r="AC14" s="8">
        <f ca="1">_xlfn.NORM.INV(RAND(),'Run and RBI Coeff'!$B$7,'Run and RBI Coeff'!$C$7)*Table3[[#This Row],[Stolen Bases (SB)]]</f>
        <v>0.68264010681674359</v>
      </c>
      <c r="AD14" s="8">
        <f ca="1">ROUND(((Table3[[#This Row],[Speed_Daring]]*5/100))*(Table3[[#This Row],[Singles (1B)]]+Table3[[#This Row],[Walks (BB)]]),0)</f>
        <v>3</v>
      </c>
      <c r="AE14" s="8" cm="1">
        <f t="array" ref="AE14">_xlfn.XLOOKUP(Table3[[#This Row],[Fielder Position]],Table6[[#All],[Position]],Table6[[#All],[p(Def Roll Err)]])+_xlfn.XLOOKUP(Table3[[#This Row],[Fielder Position]],Table6[[#All],[Position]],Table6[[#All],[p(Non-Hit Err)]])</f>
        <v>8.3333333333333339E-4</v>
      </c>
      <c r="AF14" s="8" cm="1">
        <f t="array" ref="AF14">_xlfn.IFS(ISNUMBER(FIND("P--",Table3[[#This Row],[Perks]])),-0.1,ISNUMBER(FIND("P-",Table3[[#This Row],[Perks]])),-0.05,ISNUMBER(FIND("P++",Table3[[#This Row],[Perks]])),0.1,ISNUMBER(FIND("P+",Table3[[#This Row],[Perks]])),0.05,0=0,0)</f>
        <v>0</v>
      </c>
      <c r="AG14" s="8">
        <f>IF(ISNUMBER(FIND("C+",Table3[[#This Row],[Perks]])),0.1,0)</f>
        <v>0</v>
      </c>
      <c r="AH14" s="8">
        <f>IF(ISNUMBER(FIND("C-",Table3[[#This Row],[Perks]])),(-0.03/4),0)</f>
        <v>0</v>
      </c>
      <c r="AI14" s="8" cm="1">
        <f t="array" ref="AI14">_xlfn.IFS(ISNUMBER(FIND("D-",Table3[[#This Row],[Perks]])),1.5,ISNUMBER(FIND("D+",Table3[[#This Row],[Perks]])),0.5,0=0,1)</f>
        <v>1</v>
      </c>
      <c r="AJ14" s="8" cm="1">
        <f t="array" ref="AJ14">_xlfn.IFS(ISNUMBER(FIND("S-",Table3[[#This Row],[Perks]])),(-2/8),ISNUMBER(FIND("S+",Table3[[#This Row],[Perks]])),(1/8),0=0,0)</f>
        <v>0</v>
      </c>
      <c r="AK14" s="8" cm="1">
        <f t="array" ref="AK14">_xlfn.IFS(ISNUMBER(FIND("S-",Table3[[#This Row],[Perks]])),ManagerialDaringSMinus,ISNUMBER(FIND("S+",Table3[[#This Row],[Perks]])),ManagerialDaringSPlus,0=0,ManagerialDaring)</f>
        <v>8</v>
      </c>
      <c r="AL14" s="8">
        <f>IF(ISNUMBER(FIND("S+",Table3[[#This Row],[Perks]])),0.05,0)</f>
        <v>0</v>
      </c>
      <c r="AM14" s="8" t="b">
        <f>IF(ISNUMBER(FIND("T+",Table3[[#This Row],[Perks]])),TRUE,FALSE)</f>
        <v>0</v>
      </c>
      <c r="AN14" s="8">
        <f>IF(ISNUMBER((FIND("DH",Table3[[#This Row],[Fielder Position]]))),1-StarterAttendance,1)</f>
        <v>1</v>
      </c>
    </row>
    <row r="15" spans="1:40" x14ac:dyDescent="0.25">
      <c r="A15" s="4" t="s">
        <v>43</v>
      </c>
      <c r="G15" s="2">
        <f ca="1">SUBTOTAL(109,Table3[PA])</f>
        <v>766</v>
      </c>
      <c r="H15" t="e">
        <f ca="1">SUBTOTAL(109,Table3[Singles (1B)])</f>
        <v>#NUM!</v>
      </c>
      <c r="I15" t="e">
        <f ca="1">SUBTOTAL(109,Table3[Doubles (2B)])</f>
        <v>#NUM!</v>
      </c>
      <c r="J15">
        <f ca="1">SUBTOTAL(109,Table3[Triples (3B)])</f>
        <v>2</v>
      </c>
      <c r="K15" t="e">
        <f ca="1">SUBTOTAL(109,Table3[Homeruns (HR)])</f>
        <v>#NUM!</v>
      </c>
      <c r="L15">
        <f ca="1">SUBTOTAL(109,Table3[Walks (BB)])</f>
        <v>34</v>
      </c>
      <c r="M15" t="e">
        <f ca="1">SUBTOTAL(109,Table3[Runs Batted In (RBI)])</f>
        <v>#NUM!</v>
      </c>
      <c r="N15" t="e">
        <f ca="1">SUBTOTAL(109,Table3[Runs (R)])</f>
        <v>#NUM!</v>
      </c>
      <c r="O15" t="e">
        <f ca="1">SUBTOTAL(109,Table3[Stolen Bases (SB)])</f>
        <v>#NUM!</v>
      </c>
      <c r="P15" t="e">
        <f ca="1">SUBTOTAL(109,Table3[Caught Stealing (CS)])</f>
        <v>#NUM!</v>
      </c>
      <c r="Q15">
        <f ca="1">SUBTOTAL(109,Table3[Errors])</f>
        <v>19</v>
      </c>
      <c r="R15" s="7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7" spans="1:40" x14ac:dyDescent="0.25">
      <c r="A17" s="9" t="s">
        <v>75</v>
      </c>
      <c r="B17" s="13" t="s">
        <v>74</v>
      </c>
      <c r="C17" s="14"/>
      <c r="D17" s="14"/>
      <c r="E17" s="14"/>
      <c r="F17" s="14"/>
      <c r="G17" s="15" t="s">
        <v>75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7" t="s">
        <v>76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</row>
  </sheetData>
  <mergeCells count="3">
    <mergeCell ref="B17:F17"/>
    <mergeCell ref="G17:Q17"/>
    <mergeCell ref="R17:AN17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E747-CD0F-4E8B-812B-EF7196DB201F}">
  <dimension ref="A1:I12"/>
  <sheetViews>
    <sheetView workbookViewId="0">
      <selection activeCell="D2" sqref="D2:D10"/>
    </sheetView>
  </sheetViews>
  <sheetFormatPr defaultRowHeight="15" x14ac:dyDescent="0.25"/>
  <cols>
    <col min="1" max="1" width="16.85546875" customWidth="1"/>
    <col min="7" max="7" width="11.140625" customWidth="1"/>
    <col min="8" max="8" width="12.7109375" customWidth="1"/>
  </cols>
  <sheetData>
    <row r="1" spans="1:9" x14ac:dyDescent="0.25">
      <c r="A1" t="s">
        <v>21</v>
      </c>
      <c r="B1" t="s">
        <v>37</v>
      </c>
      <c r="C1" t="s">
        <v>9</v>
      </c>
      <c r="D1" t="s">
        <v>38</v>
      </c>
      <c r="E1" s="12" t="s">
        <v>89</v>
      </c>
      <c r="F1" t="s">
        <v>45</v>
      </c>
      <c r="G1" t="s">
        <v>39</v>
      </c>
      <c r="H1" t="s">
        <v>40</v>
      </c>
      <c r="I1" t="s">
        <v>41</v>
      </c>
    </row>
    <row r="2" spans="1:9" x14ac:dyDescent="0.25">
      <c r="A2">
        <v>1</v>
      </c>
      <c r="B2">
        <v>4856</v>
      </c>
      <c r="C2">
        <v>22598</v>
      </c>
      <c r="D2">
        <v>4.6500000000000004</v>
      </c>
      <c r="E2">
        <f>Table1[[#This Row],[PA/GS]]+(TeamDeltaPA/9)</f>
        <v>5.1443369639145136</v>
      </c>
      <c r="F2">
        <v>0.11020000000000001</v>
      </c>
      <c r="G2">
        <v>0.43</v>
      </c>
      <c r="H2">
        <v>600</v>
      </c>
      <c r="I2" t="s">
        <v>42</v>
      </c>
    </row>
    <row r="3" spans="1:9" x14ac:dyDescent="0.25">
      <c r="A3">
        <v>2</v>
      </c>
      <c r="B3">
        <v>4856</v>
      </c>
      <c r="C3">
        <v>22077</v>
      </c>
      <c r="D3">
        <v>4.55</v>
      </c>
      <c r="E3">
        <f>Table1[[#This Row],[PA/GS]]+(TeamDeltaPA/9)</f>
        <v>5.044336963914513</v>
      </c>
      <c r="F3">
        <v>0.11020000000000001</v>
      </c>
      <c r="G3">
        <v>0.32</v>
      </c>
      <c r="H3">
        <v>586.16999999999996</v>
      </c>
      <c r="I3">
        <v>13.83</v>
      </c>
    </row>
    <row r="4" spans="1:9" x14ac:dyDescent="0.25">
      <c r="A4">
        <v>3</v>
      </c>
      <c r="B4">
        <v>4856</v>
      </c>
      <c r="C4">
        <v>21530</v>
      </c>
      <c r="D4">
        <v>4.43</v>
      </c>
      <c r="E4">
        <f>Table1[[#This Row],[PA/GS]]+(TeamDeltaPA/9)</f>
        <v>4.9243369639145129</v>
      </c>
      <c r="F4">
        <v>0.11020000000000001</v>
      </c>
      <c r="G4">
        <v>0.21</v>
      </c>
      <c r="H4">
        <v>571.64</v>
      </c>
      <c r="I4">
        <v>28.36</v>
      </c>
    </row>
    <row r="5" spans="1:9" x14ac:dyDescent="0.25">
      <c r="A5">
        <v>4</v>
      </c>
      <c r="B5">
        <v>4856</v>
      </c>
      <c r="C5">
        <v>21039</v>
      </c>
      <c r="D5">
        <v>4.33</v>
      </c>
      <c r="E5">
        <f>Table1[[#This Row],[PA/GS]]+(TeamDeltaPA/9)</f>
        <v>4.8243369639145133</v>
      </c>
      <c r="F5">
        <v>0.11020000000000001</v>
      </c>
      <c r="G5">
        <v>0.11</v>
      </c>
      <c r="H5">
        <v>558.61</v>
      </c>
      <c r="I5">
        <v>41.39</v>
      </c>
    </row>
    <row r="6" spans="1:9" x14ac:dyDescent="0.25">
      <c r="A6">
        <v>5</v>
      </c>
      <c r="B6">
        <v>4856</v>
      </c>
      <c r="C6">
        <v>20569</v>
      </c>
      <c r="D6">
        <v>4.24</v>
      </c>
      <c r="E6">
        <f>Table1[[#This Row],[PA/GS]]+(TeamDeltaPA/9)</f>
        <v>4.7343369639145134</v>
      </c>
      <c r="F6">
        <v>0.11020000000000001</v>
      </c>
      <c r="G6">
        <v>0.01</v>
      </c>
      <c r="H6">
        <v>546.13</v>
      </c>
      <c r="I6">
        <v>53.87</v>
      </c>
    </row>
    <row r="7" spans="1:9" x14ac:dyDescent="0.25">
      <c r="A7">
        <v>6</v>
      </c>
      <c r="B7">
        <v>4856</v>
      </c>
      <c r="C7">
        <v>20054</v>
      </c>
      <c r="D7">
        <v>4.13</v>
      </c>
      <c r="E7">
        <f>Table1[[#This Row],[PA/GS]]+(TeamDeltaPA/9)</f>
        <v>4.6243369639145131</v>
      </c>
      <c r="F7">
        <v>0.11020000000000001</v>
      </c>
      <c r="G7">
        <v>-0.09</v>
      </c>
      <c r="H7">
        <v>532.45000000000005</v>
      </c>
      <c r="I7">
        <v>67.55</v>
      </c>
    </row>
    <row r="8" spans="1:9" x14ac:dyDescent="0.25">
      <c r="A8">
        <v>7</v>
      </c>
      <c r="B8">
        <v>4856</v>
      </c>
      <c r="C8">
        <v>19485</v>
      </c>
      <c r="D8">
        <v>4.01</v>
      </c>
      <c r="E8">
        <f>Table1[[#This Row],[PA/GS]]+(TeamDeltaPA/9)</f>
        <v>4.504336963914513</v>
      </c>
      <c r="F8">
        <v>0.11020000000000001</v>
      </c>
      <c r="G8">
        <v>-0.21</v>
      </c>
      <c r="H8">
        <v>517.35</v>
      </c>
      <c r="I8">
        <v>82.65</v>
      </c>
    </row>
    <row r="9" spans="1:9" x14ac:dyDescent="0.25">
      <c r="A9">
        <v>8</v>
      </c>
      <c r="B9">
        <v>4856</v>
      </c>
      <c r="C9">
        <v>18923</v>
      </c>
      <c r="D9">
        <v>3.9</v>
      </c>
      <c r="E9">
        <f>Table1[[#This Row],[PA/GS]]+(TeamDeltaPA/9)</f>
        <v>4.3943369639145127</v>
      </c>
      <c r="F9">
        <v>0.11020000000000001</v>
      </c>
      <c r="G9">
        <v>-0.33</v>
      </c>
      <c r="H9">
        <v>502.42</v>
      </c>
      <c r="I9">
        <v>97.58</v>
      </c>
    </row>
    <row r="10" spans="1:9" x14ac:dyDescent="0.25">
      <c r="A10">
        <v>9</v>
      </c>
      <c r="B10">
        <v>4856</v>
      </c>
      <c r="C10">
        <v>18305</v>
      </c>
      <c r="D10">
        <v>3.77</v>
      </c>
      <c r="E10">
        <f>Table1[[#This Row],[PA/GS]]+(TeamDeltaPA/9)</f>
        <v>4.2643369639145128</v>
      </c>
      <c r="F10">
        <v>0.11020000000000001</v>
      </c>
      <c r="G10">
        <v>-0.45</v>
      </c>
      <c r="H10">
        <v>486.02</v>
      </c>
      <c r="I10">
        <v>113.98</v>
      </c>
    </row>
    <row r="11" spans="1:9" x14ac:dyDescent="0.25">
      <c r="A11" t="s">
        <v>22</v>
      </c>
      <c r="D11">
        <v>4.22</v>
      </c>
      <c r="E11">
        <f>Table1[[#This Row],[PA/GS]]+(TeamDeltaPA/9)</f>
        <v>4.714336963914513</v>
      </c>
      <c r="F11">
        <v>0.28039999999999998</v>
      </c>
    </row>
    <row r="12" spans="1:9" x14ac:dyDescent="0.25">
      <c r="A12" t="s">
        <v>43</v>
      </c>
      <c r="B12">
        <v>43704</v>
      </c>
      <c r="C12">
        <v>184580</v>
      </c>
      <c r="D12">
        <v>4.22</v>
      </c>
      <c r="G12" t="s">
        <v>42</v>
      </c>
      <c r="H12">
        <v>544.53</v>
      </c>
      <c r="I12">
        <v>55.47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E4D8-C848-4DD9-A16D-3A02E4E4246F}">
  <dimension ref="A1:M18"/>
  <sheetViews>
    <sheetView workbookViewId="0">
      <selection activeCell="D18" sqref="D18"/>
    </sheetView>
  </sheetViews>
  <sheetFormatPr defaultRowHeight="15" x14ac:dyDescent="0.25"/>
  <cols>
    <col min="1" max="1" width="20.28515625" bestFit="1" customWidth="1"/>
    <col min="2" max="6" width="13" customWidth="1"/>
    <col min="8" max="8" width="19.7109375" bestFit="1" customWidth="1"/>
    <col min="9" max="9" width="13" customWidth="1"/>
  </cols>
  <sheetData>
    <row r="1" spans="1:13" x14ac:dyDescent="0.25">
      <c r="A1" t="s">
        <v>51</v>
      </c>
      <c r="H1" t="s">
        <v>55</v>
      </c>
    </row>
    <row r="2" spans="1:13" x14ac:dyDescent="0.25">
      <c r="A2" t="s">
        <v>52</v>
      </c>
      <c r="B2" t="s">
        <v>53</v>
      </c>
      <c r="C2" t="s">
        <v>45</v>
      </c>
      <c r="E2" t="s">
        <v>82</v>
      </c>
      <c r="F2" t="s">
        <v>83</v>
      </c>
      <c r="H2" t="s">
        <v>52</v>
      </c>
      <c r="I2" t="s">
        <v>53</v>
      </c>
      <c r="J2" t="s">
        <v>45</v>
      </c>
      <c r="L2" t="s">
        <v>82</v>
      </c>
      <c r="M2" t="s">
        <v>83</v>
      </c>
    </row>
    <row r="3" spans="1:13" x14ac:dyDescent="0.25">
      <c r="A3" t="s">
        <v>10</v>
      </c>
      <c r="B3">
        <v>0.27100000000000002</v>
      </c>
      <c r="C3">
        <v>0.01</v>
      </c>
      <c r="E3">
        <v>0.325197259483123</v>
      </c>
      <c r="F3">
        <v>1.8888818623990111E-2</v>
      </c>
      <c r="H3" t="s">
        <v>10</v>
      </c>
      <c r="I3">
        <v>0.25606258891143052</v>
      </c>
      <c r="J3">
        <v>1.7366310156454123E-2</v>
      </c>
      <c r="L3">
        <v>0.25606258891143052</v>
      </c>
      <c r="M3">
        <v>1.7366310156454123E-2</v>
      </c>
    </row>
    <row r="4" spans="1:13" x14ac:dyDescent="0.25">
      <c r="A4" t="s">
        <v>11</v>
      </c>
      <c r="B4">
        <v>0.52500000000000002</v>
      </c>
      <c r="C4">
        <v>0.06</v>
      </c>
      <c r="E4">
        <v>0.53393824900080189</v>
      </c>
      <c r="F4">
        <v>6.293410972818797E-2</v>
      </c>
      <c r="H4" t="s">
        <v>11</v>
      </c>
      <c r="I4">
        <v>0.55287773637869719</v>
      </c>
      <c r="J4">
        <v>5.8926074717449539E-2</v>
      </c>
      <c r="L4">
        <v>0.55287773637869719</v>
      </c>
      <c r="M4">
        <v>5.8926074717449539E-2</v>
      </c>
    </row>
    <row r="5" spans="1:13" x14ac:dyDescent="0.25">
      <c r="A5" t="s">
        <v>12</v>
      </c>
      <c r="B5">
        <v>0.8</v>
      </c>
      <c r="C5">
        <v>0.1</v>
      </c>
      <c r="E5">
        <v>1.0892511172716499</v>
      </c>
      <c r="F5">
        <v>0.2481317362649782</v>
      </c>
      <c r="H5" t="s">
        <v>12</v>
      </c>
      <c r="I5">
        <v>0.85</v>
      </c>
      <c r="J5">
        <v>0.1</v>
      </c>
      <c r="L5">
        <v>0.16021521539379679</v>
      </c>
      <c r="M5">
        <v>0.21523770646707185</v>
      </c>
    </row>
    <row r="6" spans="1:13" x14ac:dyDescent="0.25">
      <c r="A6" t="s">
        <v>13</v>
      </c>
      <c r="B6">
        <v>1</v>
      </c>
      <c r="C6">
        <v>1.0000000000000001E-9</v>
      </c>
      <c r="E6">
        <v>1.1823105530033524</v>
      </c>
      <c r="F6">
        <v>4.6644225046871157E-2</v>
      </c>
      <c r="H6" t="s">
        <v>13</v>
      </c>
      <c r="I6">
        <v>1.6729334664161268</v>
      </c>
      <c r="J6">
        <v>4.3672075730142312E-2</v>
      </c>
      <c r="L6">
        <v>1.6729334664161268</v>
      </c>
      <c r="M6">
        <v>4.3672075730142312E-2</v>
      </c>
    </row>
    <row r="7" spans="1:13" x14ac:dyDescent="0.25">
      <c r="A7" t="s">
        <v>17</v>
      </c>
      <c r="B7">
        <v>0.46559080985497447</v>
      </c>
      <c r="C7">
        <v>5.8221642854048128E-2</v>
      </c>
      <c r="E7">
        <v>0.46559080985497447</v>
      </c>
      <c r="F7">
        <v>5.8221642854048128E-2</v>
      </c>
    </row>
    <row r="8" spans="1:13" x14ac:dyDescent="0.25">
      <c r="H8" t="s">
        <v>56</v>
      </c>
    </row>
    <row r="14" spans="1:13" x14ac:dyDescent="0.25">
      <c r="A14" t="s">
        <v>77</v>
      </c>
    </row>
    <row r="15" spans="1:13" x14ac:dyDescent="0.25">
      <c r="A15" t="s">
        <v>78</v>
      </c>
      <c r="B15" t="e">
        <f ca="1">Table3[[#Totals],[Runs (R)]]</f>
        <v>#NUM!</v>
      </c>
    </row>
    <row r="16" spans="1:13" x14ac:dyDescent="0.25">
      <c r="A16" t="s">
        <v>79</v>
      </c>
      <c r="B16" t="e">
        <f ca="1">Table3[[#Totals],[Runs Batted In (RBI)]]</f>
        <v>#NUM!</v>
      </c>
    </row>
    <row r="17" spans="1:2" x14ac:dyDescent="0.25">
      <c r="A17" t="s">
        <v>80</v>
      </c>
      <c r="B17" s="10" t="e">
        <f ca="1">B15/B16</f>
        <v>#NUM!</v>
      </c>
    </row>
    <row r="18" spans="1:2" x14ac:dyDescent="0.25">
      <c r="A18" t="s">
        <v>81</v>
      </c>
      <c r="B18">
        <v>1.04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4BD7-0F10-480C-B13B-6481B47CBDCA}">
  <dimension ref="A1:C12"/>
  <sheetViews>
    <sheetView workbookViewId="0">
      <selection activeCell="D1" sqref="D1"/>
    </sheetView>
  </sheetViews>
  <sheetFormatPr defaultRowHeight="15" x14ac:dyDescent="0.25"/>
  <cols>
    <col min="1" max="1" width="10.42578125" customWidth="1"/>
    <col min="2" max="3" width="15.5703125" customWidth="1"/>
  </cols>
  <sheetData>
    <row r="1" spans="1:3" x14ac:dyDescent="0.25">
      <c r="A1" t="s">
        <v>5</v>
      </c>
      <c r="B1" t="s">
        <v>68</v>
      </c>
      <c r="C1" t="s">
        <v>69</v>
      </c>
    </row>
    <row r="2" spans="1:3" x14ac:dyDescent="0.25">
      <c r="A2" t="s">
        <v>23</v>
      </c>
      <c r="B2">
        <v>0</v>
      </c>
      <c r="C2">
        <v>8.3333333333333339E-4</v>
      </c>
    </row>
    <row r="3" spans="1:3" x14ac:dyDescent="0.25">
      <c r="A3" t="s">
        <v>24</v>
      </c>
      <c r="B3">
        <v>2.0833333333333329E-3</v>
      </c>
      <c r="C3">
        <v>8.3333333333333339E-4</v>
      </c>
    </row>
    <row r="4" spans="1:3" x14ac:dyDescent="0.25">
      <c r="A4" t="s">
        <v>31</v>
      </c>
      <c r="B4">
        <v>2.0833333333333329E-3</v>
      </c>
      <c r="C4">
        <v>1.66666666666667E-3</v>
      </c>
    </row>
    <row r="5" spans="1:3" x14ac:dyDescent="0.25">
      <c r="A5" t="s">
        <v>27</v>
      </c>
      <c r="B5">
        <v>2.0833333333333329E-3</v>
      </c>
      <c r="C5">
        <v>8.3333333333333339E-4</v>
      </c>
    </row>
    <row r="6" spans="1:3" x14ac:dyDescent="0.25">
      <c r="A6" t="s">
        <v>30</v>
      </c>
      <c r="B6">
        <v>2.0833333333333329E-3</v>
      </c>
      <c r="C6">
        <v>1.66666666666667E-3</v>
      </c>
    </row>
    <row r="7" spans="1:3" x14ac:dyDescent="0.25">
      <c r="A7" t="s">
        <v>28</v>
      </c>
      <c r="B7">
        <v>2.0833333333333329E-3</v>
      </c>
      <c r="C7">
        <v>8.3333333333333339E-4</v>
      </c>
    </row>
    <row r="8" spans="1:3" x14ac:dyDescent="0.25">
      <c r="A8" t="s">
        <v>29</v>
      </c>
      <c r="B8">
        <v>2.0833333333333329E-3</v>
      </c>
      <c r="C8">
        <v>8.3333333333333339E-4</v>
      </c>
    </row>
    <row r="9" spans="1:3" x14ac:dyDescent="0.25">
      <c r="A9" t="s">
        <v>26</v>
      </c>
      <c r="B9">
        <v>2.0833333333333329E-3</v>
      </c>
      <c r="C9">
        <v>8.3333333333333339E-4</v>
      </c>
    </row>
    <row r="10" spans="1:3" x14ac:dyDescent="0.25">
      <c r="A10" t="s">
        <v>32</v>
      </c>
      <c r="B10">
        <v>2.0833333333333329E-3</v>
      </c>
      <c r="C10">
        <v>1.25E-3</v>
      </c>
    </row>
    <row r="11" spans="1:3" x14ac:dyDescent="0.25">
      <c r="A11" t="s">
        <v>33</v>
      </c>
      <c r="B11">
        <v>2.0833333333333329E-3</v>
      </c>
      <c r="C11">
        <v>8.3333333333333339E-4</v>
      </c>
    </row>
    <row r="12" spans="1:3" x14ac:dyDescent="0.25">
      <c r="A12" t="s">
        <v>25</v>
      </c>
      <c r="B12">
        <v>2.0833333333333329E-3</v>
      </c>
      <c r="C12">
        <v>1.0416666666666667E-3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Info</vt:lpstr>
      <vt:lpstr>Team Season Stats</vt:lpstr>
      <vt:lpstr>Lineup Table</vt:lpstr>
      <vt:lpstr>Run and RBI Coeff</vt:lpstr>
      <vt:lpstr>Error Table</vt:lpstr>
      <vt:lpstr>GamesPerSeason</vt:lpstr>
      <vt:lpstr>ManagerialDaring</vt:lpstr>
      <vt:lpstr>ManagerialDaringSMinus</vt:lpstr>
      <vt:lpstr>ManagerialDaringSPlus</vt:lpstr>
      <vt:lpstr>StarterAttendance</vt:lpstr>
      <vt:lpstr>tbl_LineupPosPA</vt:lpstr>
      <vt:lpstr>tbl_pError</vt:lpstr>
      <vt:lpstr>tbl_RBICoeff</vt:lpstr>
      <vt:lpstr>tbl_RunCoeff</vt:lpstr>
      <vt:lpstr>TeamAveragePA</vt:lpstr>
      <vt:lpstr>TeamAvgOBT</vt:lpstr>
      <vt:lpstr>TeamDeltaPA</vt:lpstr>
      <vt:lpstr>VisitingPAs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Jerad Bailey</dc:creator>
  <cp:lastModifiedBy>Pat Bean</cp:lastModifiedBy>
  <dcterms:created xsi:type="dcterms:W3CDTF">2023-08-19T22:22:44Z</dcterms:created>
  <dcterms:modified xsi:type="dcterms:W3CDTF">2024-11-13T16:28:40Z</dcterms:modified>
</cp:coreProperties>
</file>