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mes B\Documents\Beech Projects\3D scanner\"/>
    </mc:Choice>
  </mc:AlternateContent>
  <xr:revisionPtr revIDLastSave="0" documentId="13_ncr:1_{E06E98AF-8FAB-4029-9EE8-280036A1712C}" xr6:coauthVersionLast="45" xr6:coauthVersionMax="45" xr10:uidLastSave="{00000000-0000-0000-0000-000000000000}"/>
  <bookViews>
    <workbookView xWindow="-120" yWindow="-120" windowWidth="29040" windowHeight="15840" activeTab="4" xr2:uid="{012083A0-205A-407B-8954-C0B5948AC4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5" l="1"/>
  <c r="L19" i="5"/>
  <c r="G3" i="5" l="1"/>
  <c r="H3" i="5"/>
  <c r="I3" i="5"/>
  <c r="J3" i="5" s="1"/>
  <c r="K3" i="5"/>
  <c r="L3" i="5" s="1"/>
  <c r="H2" i="5"/>
  <c r="I6" i="5"/>
  <c r="J6" i="5" s="1"/>
  <c r="K2" i="5"/>
  <c r="L2" i="5" s="1"/>
  <c r="I2" i="5"/>
  <c r="J2" i="5" s="1"/>
  <c r="E5" i="5"/>
  <c r="G5" i="5" s="1"/>
  <c r="E6" i="5"/>
  <c r="K6" i="5" s="1"/>
  <c r="L6" i="5" s="1"/>
  <c r="E7" i="5"/>
  <c r="G7" i="5" s="1"/>
  <c r="G8" i="5"/>
  <c r="E4" i="5"/>
  <c r="H4" i="5" s="1"/>
  <c r="G2" i="5"/>
  <c r="T4" i="5"/>
  <c r="S4" i="5"/>
  <c r="T2" i="5"/>
  <c r="S2" i="5"/>
  <c r="P4" i="5"/>
  <c r="P2" i="5"/>
  <c r="H6" i="5" l="1"/>
  <c r="I8" i="5"/>
  <c r="J8" i="5" s="1"/>
  <c r="K7" i="5"/>
  <c r="L7" i="5" s="1"/>
  <c r="I4" i="5"/>
  <c r="J4" i="5" s="1"/>
  <c r="G4" i="5"/>
  <c r="K8" i="5"/>
  <c r="L8" i="5" s="1"/>
  <c r="K4" i="5"/>
  <c r="L4" i="5" s="1"/>
  <c r="I7" i="5"/>
  <c r="J7" i="5" s="1"/>
  <c r="H8" i="5"/>
  <c r="H7" i="5"/>
  <c r="K5" i="5"/>
  <c r="L5" i="5" s="1"/>
  <c r="H5" i="5"/>
  <c r="I5" i="5"/>
  <c r="J5" i="5" s="1"/>
  <c r="G6" i="5"/>
  <c r="J11" i="2"/>
  <c r="I11" i="2"/>
  <c r="H13" i="2"/>
  <c r="J16" i="2"/>
  <c r="I16" i="2"/>
  <c r="J14" i="2"/>
  <c r="I14" i="2"/>
  <c r="J13" i="2" l="1"/>
  <c r="J7" i="2" s="1"/>
  <c r="J9" i="2" s="1"/>
  <c r="I13" i="2"/>
  <c r="J3" i="2" l="1"/>
  <c r="J5" i="2" s="1"/>
  <c r="I7" i="2"/>
  <c r="I9" i="2" s="1"/>
  <c r="I3" i="2"/>
  <c r="I5" i="2" s="1"/>
  <c r="G11" i="3" l="1"/>
  <c r="I11" i="3"/>
  <c r="G12" i="3"/>
  <c r="I12" i="3"/>
  <c r="G13" i="3"/>
  <c r="I13" i="3"/>
  <c r="G10" i="3"/>
  <c r="I10" i="3"/>
  <c r="G9" i="3"/>
  <c r="I9" i="3"/>
  <c r="G8" i="3"/>
  <c r="I8" i="3"/>
  <c r="I7" i="3"/>
  <c r="I6" i="3"/>
  <c r="H6" i="3"/>
  <c r="I5" i="3"/>
  <c r="H4" i="3"/>
  <c r="I4" i="3"/>
  <c r="H3" i="3"/>
  <c r="I3" i="3"/>
  <c r="I2" i="3"/>
  <c r="H2" i="3"/>
  <c r="Q8" i="1" l="1"/>
  <c r="P8" i="1"/>
  <c r="G26" i="1"/>
  <c r="G25" i="1"/>
  <c r="C21" i="1" l="1"/>
  <c r="B22" i="1"/>
  <c r="B21" i="1"/>
  <c r="B20" i="1"/>
  <c r="D4" i="2" l="1"/>
  <c r="D8" i="2"/>
  <c r="D11" i="2"/>
  <c r="D14" i="2"/>
  <c r="D16" i="2" s="1"/>
  <c r="B4" i="2"/>
  <c r="C4" i="2"/>
  <c r="E4" i="2"/>
  <c r="F4" i="2"/>
  <c r="G4" i="2"/>
  <c r="H4" i="2"/>
  <c r="P11" i="2"/>
  <c r="P14" i="2"/>
  <c r="G11" i="2"/>
  <c r="H8" i="2"/>
  <c r="G8" i="2"/>
  <c r="F8" i="2"/>
  <c r="E8" i="2"/>
  <c r="C8" i="2"/>
  <c r="B8" i="2"/>
  <c r="H11" i="2"/>
  <c r="H14" i="2"/>
  <c r="H16" i="2" s="1"/>
  <c r="G14" i="2"/>
  <c r="G16" i="2" s="1"/>
  <c r="E11" i="2"/>
  <c r="F11" i="2"/>
  <c r="F14" i="2"/>
  <c r="F16" i="2" s="1"/>
  <c r="E14" i="2"/>
  <c r="E16" i="2" s="1"/>
  <c r="C14" i="2"/>
  <c r="B14" i="2"/>
  <c r="D13" i="2" l="1"/>
  <c r="D7" i="2" s="1"/>
  <c r="D9" i="2" s="1"/>
  <c r="F13" i="2"/>
  <c r="F7" i="2" s="1"/>
  <c r="F9" i="2" s="1"/>
  <c r="E13" i="2"/>
  <c r="G13" i="2"/>
  <c r="G3" i="2" s="1"/>
  <c r="G5" i="2" s="1"/>
  <c r="H3" i="2"/>
  <c r="C16" i="2"/>
  <c r="C11" i="2"/>
  <c r="B16" i="2"/>
  <c r="B11" i="2"/>
  <c r="E3" i="2" l="1"/>
  <c r="E5" i="2" s="1"/>
  <c r="E7" i="2"/>
  <c r="D3" i="2"/>
  <c r="D5" i="2" s="1"/>
  <c r="F3" i="2"/>
  <c r="F5" i="2" s="1"/>
  <c r="E9" i="2"/>
  <c r="C13" i="2"/>
  <c r="C7" i="2" s="1"/>
  <c r="C9" i="2" s="1"/>
  <c r="G7" i="2"/>
  <c r="G9" i="2" s="1"/>
  <c r="B13" i="2"/>
  <c r="B7" i="2" s="1"/>
  <c r="H7" i="2"/>
  <c r="B17" i="2"/>
  <c r="C3" i="2" l="1"/>
  <c r="C5" i="2" s="1"/>
  <c r="B3" i="2"/>
  <c r="B5" i="2" s="1"/>
  <c r="B9" i="2"/>
</calcChain>
</file>

<file path=xl/sharedStrings.xml><?xml version="1.0" encoding="utf-8"?>
<sst xmlns="http://schemas.openxmlformats.org/spreadsheetml/2006/main" count="111" uniqueCount="99">
  <si>
    <t>Camera</t>
  </si>
  <si>
    <t>Overlap</t>
  </si>
  <si>
    <t>Lens 1</t>
  </si>
  <si>
    <t>Lens 2</t>
  </si>
  <si>
    <t>Pi</t>
  </si>
  <si>
    <t>9MP</t>
  </si>
  <si>
    <t>Range</t>
  </si>
  <si>
    <t>Range +/- 1mm</t>
  </si>
  <si>
    <t>13MP</t>
  </si>
  <si>
    <t>14MP</t>
  </si>
  <si>
    <t>Lenses needed</t>
  </si>
  <si>
    <t>got CS</t>
  </si>
  <si>
    <t>Lens Mount</t>
  </si>
  <si>
    <t>CS</t>
  </si>
  <si>
    <t>M12</t>
  </si>
  <si>
    <t>None</t>
  </si>
  <si>
    <t>CS/None</t>
  </si>
  <si>
    <t>M12*0.5</t>
  </si>
  <si>
    <t>M12/S mount</t>
  </si>
  <si>
    <t>1" x 32 TPI UN 2A</t>
  </si>
  <si>
    <t>Near Distance</t>
  </si>
  <si>
    <t>Far Distance</t>
  </si>
  <si>
    <t>Focal Length</t>
  </si>
  <si>
    <t>Focus Distance</t>
  </si>
  <si>
    <t>Hyperfocal</t>
  </si>
  <si>
    <t>Fstop</t>
  </si>
  <si>
    <t>Calc Near</t>
  </si>
  <si>
    <t>Cal Far</t>
  </si>
  <si>
    <t>Fsquared</t>
  </si>
  <si>
    <t>Nc</t>
  </si>
  <si>
    <t>Hyperfocal/2 method</t>
  </si>
  <si>
    <t>Standard Method</t>
  </si>
  <si>
    <t>8MP Lens 1</t>
  </si>
  <si>
    <t>8MP Lens 2</t>
  </si>
  <si>
    <t>DSLR Camera</t>
  </si>
  <si>
    <t>angle of view</t>
  </si>
  <si>
    <t>PiCamera standard</t>
  </si>
  <si>
    <t>Inifinity</t>
  </si>
  <si>
    <t>Acceptable Near</t>
  </si>
  <si>
    <t>Acceptable Far</t>
  </si>
  <si>
    <t>Acceptable calc far</t>
  </si>
  <si>
    <t>Acceptable Calc near</t>
  </si>
  <si>
    <t>F22 MAX</t>
  </si>
  <si>
    <t>Acceptable (my!) Method</t>
  </si>
  <si>
    <t>8MP Lens 3</t>
  </si>
  <si>
    <t>https://www.voptics.com/contact/</t>
  </si>
  <si>
    <t>diff</t>
  </si>
  <si>
    <t>(2203 max)</t>
  </si>
  <si>
    <t>6.4m range</t>
  </si>
  <si>
    <t>angled</t>
  </si>
  <si>
    <t>x angle</t>
  </si>
  <si>
    <t>MP</t>
  </si>
  <si>
    <t>Distance to image plane</t>
  </si>
  <si>
    <t>Length</t>
  </si>
  <si>
    <t>End Dia</t>
  </si>
  <si>
    <t>End Depth</t>
  </si>
  <si>
    <t>Thread</t>
  </si>
  <si>
    <t>Total from focal plane</t>
  </si>
  <si>
    <t>Circle of confusion</t>
  </si>
  <si>
    <t>New1</t>
  </si>
  <si>
    <t>New2</t>
  </si>
  <si>
    <t>Pin 7</t>
  </si>
  <si>
    <t>Pin 11</t>
  </si>
  <si>
    <t>Pin 12</t>
  </si>
  <si>
    <t>i2c</t>
  </si>
  <si>
    <t>i2cset -y 1 0x70 0x00 0x04</t>
  </si>
  <si>
    <t>i2cset -y 1 0x70 0x00 0x05</t>
  </si>
  <si>
    <t>i2cset -y 1 0x70 0x00 0x06</t>
  </si>
  <si>
    <t>i2cset -y 1 0x70 0x00 0x07</t>
  </si>
  <si>
    <t>7.5 Deg</t>
  </si>
  <si>
    <t>26.7 Deg</t>
  </si>
  <si>
    <t>50mm</t>
  </si>
  <si>
    <t>12mm</t>
  </si>
  <si>
    <t>12.3MP lens 1</t>
  </si>
  <si>
    <t>12.3MP Lens 2</t>
  </si>
  <si>
    <t>Frame Dimension 12MP</t>
  </si>
  <si>
    <t>Angle of view 12MP</t>
  </si>
  <si>
    <t>12MP Resolution</t>
  </si>
  <si>
    <t>8MP Resolution</t>
  </si>
  <si>
    <t>Diagonal</t>
  </si>
  <si>
    <t>H</t>
  </si>
  <si>
    <t>V</t>
  </si>
  <si>
    <t>H Angle Of view 8MP</t>
  </si>
  <si>
    <t>H Frame Dimension 8MP</t>
  </si>
  <si>
    <t>V Frame Dimension 8MP</t>
  </si>
  <si>
    <t>V Frame Dimension 12MP</t>
  </si>
  <si>
    <t>V Angle of view 8MP</t>
  </si>
  <si>
    <t>V angle of view 12MP</t>
  </si>
  <si>
    <t>Equivalent angle</t>
  </si>
  <si>
    <t>equivalent angle</t>
  </si>
  <si>
    <t>camera 1</t>
  </si>
  <si>
    <t>camera 2</t>
  </si>
  <si>
    <t>offset</t>
  </si>
  <si>
    <t>minimum</t>
  </si>
  <si>
    <t>focal length</t>
  </si>
  <si>
    <t>max</t>
  </si>
  <si>
    <t>angle</t>
  </si>
  <si>
    <t>12MP</t>
  </si>
  <si>
    <t>8MP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</si>
</sst>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9"/>
      <color rgb="FF032F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5D1CB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ptics.com/contac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E32B-1F0B-410A-8993-CC04DD867A54}">
  <dimension ref="A1:Q33"/>
  <sheetViews>
    <sheetView zoomScale="101" zoomScaleNormal="101" workbookViewId="0">
      <selection activeCell="H26" sqref="H26"/>
    </sheetView>
  </sheetViews>
  <sheetFormatPr defaultRowHeight="15" x14ac:dyDescent="0.25"/>
  <cols>
    <col min="1" max="1" width="14.42578125" bestFit="1" customWidth="1"/>
  </cols>
  <sheetData>
    <row r="1" spans="1:17" x14ac:dyDescent="0.25">
      <c r="A1" t="s">
        <v>0</v>
      </c>
      <c r="B1" t="s">
        <v>4</v>
      </c>
      <c r="C1" t="s">
        <v>5</v>
      </c>
      <c r="D1" t="s">
        <v>8</v>
      </c>
      <c r="E1" t="s">
        <v>9</v>
      </c>
    </row>
    <row r="2" spans="1:17" x14ac:dyDescent="0.25">
      <c r="A2" t="s">
        <v>12</v>
      </c>
      <c r="B2" t="s">
        <v>16</v>
      </c>
      <c r="C2" t="s">
        <v>14</v>
      </c>
      <c r="D2" t="s">
        <v>15</v>
      </c>
      <c r="E2" t="s">
        <v>14</v>
      </c>
    </row>
    <row r="3" spans="1:17" x14ac:dyDescent="0.25">
      <c r="A3" t="s">
        <v>1</v>
      </c>
      <c r="B3">
        <v>5</v>
      </c>
      <c r="C3">
        <v>1.5</v>
      </c>
      <c r="D3">
        <v>1.6</v>
      </c>
      <c r="E3">
        <v>1</v>
      </c>
    </row>
    <row r="4" spans="1:17" x14ac:dyDescent="0.25">
      <c r="A4" t="s">
        <v>2</v>
      </c>
      <c r="B4">
        <v>8</v>
      </c>
      <c r="C4">
        <v>12</v>
      </c>
      <c r="D4">
        <v>10</v>
      </c>
      <c r="E4">
        <v>12</v>
      </c>
    </row>
    <row r="5" spans="1:17" x14ac:dyDescent="0.25">
      <c r="A5" t="s">
        <v>3</v>
      </c>
      <c r="B5">
        <v>25</v>
      </c>
      <c r="C5">
        <v>50</v>
      </c>
      <c r="D5">
        <v>35</v>
      </c>
      <c r="E5">
        <v>50</v>
      </c>
    </row>
    <row r="6" spans="1:17" x14ac:dyDescent="0.25">
      <c r="A6" t="s">
        <v>6</v>
      </c>
      <c r="B6">
        <v>5782</v>
      </c>
      <c r="C6">
        <v>6830</v>
      </c>
      <c r="D6">
        <v>6200</v>
      </c>
      <c r="E6">
        <v>8052</v>
      </c>
      <c r="P6">
        <v>450</v>
      </c>
    </row>
    <row r="7" spans="1:17" x14ac:dyDescent="0.25">
      <c r="A7" t="s">
        <v>7</v>
      </c>
      <c r="B7">
        <v>4250</v>
      </c>
      <c r="C7">
        <v>4750</v>
      </c>
      <c r="D7">
        <v>5000</v>
      </c>
      <c r="E7">
        <v>5500</v>
      </c>
      <c r="P7">
        <v>345</v>
      </c>
    </row>
    <row r="8" spans="1:17" x14ac:dyDescent="0.25">
      <c r="P8">
        <f>P6-P7</f>
        <v>105</v>
      </c>
      <c r="Q8">
        <f>P7-P8</f>
        <v>240</v>
      </c>
    </row>
    <row r="9" spans="1:17" x14ac:dyDescent="0.25">
      <c r="A9" t="s">
        <v>10</v>
      </c>
      <c r="B9">
        <v>8</v>
      </c>
      <c r="P9">
        <v>0</v>
      </c>
    </row>
    <row r="10" spans="1:17" x14ac:dyDescent="0.25">
      <c r="B10">
        <v>10</v>
      </c>
    </row>
    <row r="11" spans="1:17" x14ac:dyDescent="0.25">
      <c r="B11">
        <v>12</v>
      </c>
    </row>
    <row r="12" spans="1:17" x14ac:dyDescent="0.25">
      <c r="B12">
        <v>25</v>
      </c>
      <c r="C12" t="s">
        <v>11</v>
      </c>
    </row>
    <row r="13" spans="1:17" x14ac:dyDescent="0.25">
      <c r="B13">
        <v>35</v>
      </c>
    </row>
    <row r="14" spans="1:17" x14ac:dyDescent="0.25">
      <c r="B14">
        <v>50</v>
      </c>
    </row>
    <row r="16" spans="1:17" x14ac:dyDescent="0.25">
      <c r="A16" t="s">
        <v>18</v>
      </c>
      <c r="B16" t="s">
        <v>17</v>
      </c>
    </row>
    <row r="17" spans="1:8" x14ac:dyDescent="0.25">
      <c r="A17" t="s">
        <v>13</v>
      </c>
      <c r="B17" s="1" t="s">
        <v>19</v>
      </c>
    </row>
    <row r="20" spans="1:8" x14ac:dyDescent="0.25">
      <c r="A20">
        <v>400</v>
      </c>
      <c r="B20">
        <f>90-81.862088</f>
        <v>8.137912</v>
      </c>
    </row>
    <row r="21" spans="1:8" x14ac:dyDescent="0.25">
      <c r="A21">
        <v>325</v>
      </c>
      <c r="B21">
        <f>90-69.828729</f>
        <v>20.171271000000004</v>
      </c>
      <c r="C21">
        <f>B21*2</f>
        <v>40.342542000000009</v>
      </c>
    </row>
    <row r="22" spans="1:8" x14ac:dyDescent="0.25">
      <c r="A22" t="s">
        <v>46</v>
      </c>
      <c r="B22">
        <f>B21-B20</f>
        <v>12.033359000000004</v>
      </c>
    </row>
    <row r="24" spans="1:8" x14ac:dyDescent="0.25">
      <c r="G24" t="s">
        <v>49</v>
      </c>
      <c r="H24" t="s">
        <v>50</v>
      </c>
    </row>
    <row r="25" spans="1:8" x14ac:dyDescent="0.25">
      <c r="A25">
        <v>345</v>
      </c>
      <c r="B25">
        <v>8</v>
      </c>
      <c r="C25">
        <v>2000</v>
      </c>
      <c r="D25">
        <v>2050</v>
      </c>
      <c r="E25" t="s">
        <v>47</v>
      </c>
      <c r="F25">
        <v>68.25</v>
      </c>
      <c r="G25">
        <f>90-F25</f>
        <v>21.75</v>
      </c>
      <c r="H25">
        <v>25.7</v>
      </c>
    </row>
    <row r="26" spans="1:8" x14ac:dyDescent="0.25">
      <c r="A26">
        <v>450</v>
      </c>
      <c r="B26">
        <v>25</v>
      </c>
      <c r="D26">
        <v>2050</v>
      </c>
      <c r="E26" t="s">
        <v>48</v>
      </c>
      <c r="F26">
        <v>81.8</v>
      </c>
      <c r="G26">
        <f>90-F26</f>
        <v>8.2000000000000028</v>
      </c>
      <c r="H26">
        <v>8.3699999999999992</v>
      </c>
    </row>
    <row r="28" spans="1:8" x14ac:dyDescent="0.25">
      <c r="A28">
        <v>300</v>
      </c>
      <c r="B28">
        <v>9</v>
      </c>
      <c r="D28">
        <v>2119</v>
      </c>
    </row>
    <row r="29" spans="1:8" x14ac:dyDescent="0.25">
      <c r="A29">
        <v>400</v>
      </c>
      <c r="B29">
        <v>25</v>
      </c>
      <c r="D29">
        <v>1894</v>
      </c>
    </row>
    <row r="32" spans="1:8" x14ac:dyDescent="0.25">
      <c r="A32" t="s">
        <v>69</v>
      </c>
      <c r="B32" t="s">
        <v>71</v>
      </c>
    </row>
    <row r="33" spans="1:2" x14ac:dyDescent="0.25">
      <c r="A33" t="s">
        <v>70</v>
      </c>
      <c r="B33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8B9C-FC76-41A5-AD5D-7298D8AE382D}">
  <dimension ref="A1:AE28"/>
  <sheetViews>
    <sheetView workbookViewId="0">
      <selection activeCell="A30" sqref="A30"/>
    </sheetView>
  </sheetViews>
  <sheetFormatPr defaultRowHeight="15" x14ac:dyDescent="0.25"/>
  <cols>
    <col min="1" max="1" width="24" bestFit="1" customWidth="1"/>
    <col min="3" max="3" width="12" bestFit="1" customWidth="1"/>
    <col min="4" max="4" width="12" customWidth="1"/>
    <col min="5" max="5" width="13.140625" bestFit="1" customWidth="1"/>
    <col min="6" max="6" width="13.42578125" bestFit="1" customWidth="1"/>
    <col min="7" max="7" width="12.42578125" bestFit="1" customWidth="1"/>
    <col min="8" max="8" width="17.85546875" bestFit="1" customWidth="1"/>
  </cols>
  <sheetData>
    <row r="1" spans="1:16" x14ac:dyDescent="0.25">
      <c r="B1" t="s">
        <v>32</v>
      </c>
      <c r="C1" t="s">
        <v>33</v>
      </c>
      <c r="D1" t="s">
        <v>44</v>
      </c>
      <c r="E1" t="s">
        <v>73</v>
      </c>
      <c r="F1" t="s">
        <v>74</v>
      </c>
      <c r="G1" t="s">
        <v>34</v>
      </c>
      <c r="H1" t="s">
        <v>36</v>
      </c>
      <c r="I1" t="s">
        <v>59</v>
      </c>
      <c r="J1" t="s">
        <v>60</v>
      </c>
    </row>
    <row r="2" spans="1:16" x14ac:dyDescent="0.25">
      <c r="A2" t="s">
        <v>20</v>
      </c>
      <c r="B2">
        <v>500</v>
      </c>
      <c r="C2">
        <v>2050</v>
      </c>
      <c r="D2">
        <v>3559</v>
      </c>
      <c r="E2">
        <v>500</v>
      </c>
      <c r="F2">
        <v>2335</v>
      </c>
      <c r="G2">
        <v>500</v>
      </c>
      <c r="H2">
        <v>500</v>
      </c>
      <c r="I2">
        <v>500</v>
      </c>
      <c r="J2">
        <v>1894</v>
      </c>
    </row>
    <row r="3" spans="1:16" x14ac:dyDescent="0.25">
      <c r="A3" t="s">
        <v>26</v>
      </c>
      <c r="B3">
        <f t="shared" ref="B3:J3" si="0">(B12*(B13-B10))/(B13+B12-(2*B10))</f>
        <v>747.54588554679037</v>
      </c>
      <c r="C3">
        <f t="shared" si="0"/>
        <v>3081.1450356591185</v>
      </c>
      <c r="D3">
        <f t="shared" si="0"/>
        <v>5317.791860852506</v>
      </c>
      <c r="E3">
        <f t="shared" si="0"/>
        <v>455.48486510364683</v>
      </c>
      <c r="F3">
        <f t="shared" si="0"/>
        <v>2211.2561519126375</v>
      </c>
      <c r="G3">
        <f t="shared" si="0"/>
        <v>948.70227648068396</v>
      </c>
      <c r="H3">
        <f t="shared" si="0"/>
        <v>754.70601104756793</v>
      </c>
      <c r="I3">
        <f t="shared" si="0"/>
        <v>747.56625652043897</v>
      </c>
      <c r="J3">
        <f t="shared" si="0"/>
        <v>2947.2261269069954</v>
      </c>
    </row>
    <row r="4" spans="1:16" x14ac:dyDescent="0.25">
      <c r="A4" t="s">
        <v>38</v>
      </c>
      <c r="B4">
        <f t="shared" ref="B4:H4" si="1">B2*1.5</f>
        <v>750</v>
      </c>
      <c r="C4">
        <f t="shared" si="1"/>
        <v>3075</v>
      </c>
      <c r="D4">
        <f t="shared" si="1"/>
        <v>5338.5</v>
      </c>
      <c r="E4">
        <f t="shared" si="1"/>
        <v>750</v>
      </c>
      <c r="F4">
        <f t="shared" si="1"/>
        <v>3502.5</v>
      </c>
      <c r="G4">
        <f t="shared" si="1"/>
        <v>750</v>
      </c>
      <c r="H4">
        <f t="shared" si="1"/>
        <v>750</v>
      </c>
    </row>
    <row r="5" spans="1:16" x14ac:dyDescent="0.25">
      <c r="A5" t="s">
        <v>41</v>
      </c>
      <c r="B5">
        <f t="shared" ref="B5:G5" si="2">B3/1.5</f>
        <v>498.36392369786023</v>
      </c>
      <c r="C5">
        <f t="shared" si="2"/>
        <v>2054.0966904394122</v>
      </c>
      <c r="D5">
        <f t="shared" si="2"/>
        <v>3545.1945739016705</v>
      </c>
      <c r="E5">
        <f t="shared" si="2"/>
        <v>303.65657673576453</v>
      </c>
      <c r="F5">
        <f t="shared" si="2"/>
        <v>1474.1707679417584</v>
      </c>
      <c r="G5">
        <f t="shared" si="2"/>
        <v>632.46818432045598</v>
      </c>
      <c r="I5">
        <f t="shared" ref="I5:J5" si="3">I3/1.5</f>
        <v>498.37750434695931</v>
      </c>
      <c r="J5">
        <f t="shared" si="3"/>
        <v>1964.8174179379969</v>
      </c>
    </row>
    <row r="6" spans="1:16" x14ac:dyDescent="0.25">
      <c r="A6" t="s">
        <v>21</v>
      </c>
      <c r="B6">
        <v>2203</v>
      </c>
      <c r="C6">
        <v>6400</v>
      </c>
      <c r="D6">
        <v>9273</v>
      </c>
      <c r="E6">
        <v>2438</v>
      </c>
      <c r="F6">
        <v>7500</v>
      </c>
      <c r="G6">
        <v>1500</v>
      </c>
      <c r="H6" t="s">
        <v>37</v>
      </c>
      <c r="I6">
        <v>2119</v>
      </c>
      <c r="J6">
        <v>6400</v>
      </c>
    </row>
    <row r="7" spans="1:16" x14ac:dyDescent="0.25">
      <c r="A7" t="s">
        <v>27</v>
      </c>
      <c r="B7">
        <f t="shared" ref="B7:J7" si="4">(B12*(B13-B10))/(B13-B12)</f>
        <v>1302.8422532313916</v>
      </c>
      <c r="C7">
        <f t="shared" si="4"/>
        <v>4328.9876710431126</v>
      </c>
      <c r="D7">
        <f t="shared" si="4"/>
        <v>6199.7432746773247</v>
      </c>
      <c r="E7">
        <f t="shared" si="4"/>
        <v>5006.3342508096857</v>
      </c>
      <c r="F7">
        <f t="shared" si="4"/>
        <v>6906.8747113544905</v>
      </c>
      <c r="G7">
        <f t="shared" si="4"/>
        <v>1057.1623169840598</v>
      </c>
      <c r="H7">
        <f t="shared" si="4"/>
        <v>2764054.1226214543</v>
      </c>
      <c r="I7">
        <f t="shared" si="4"/>
        <v>1509.8306752857493</v>
      </c>
      <c r="J7">
        <f t="shared" si="4"/>
        <v>4307.9962975848957</v>
      </c>
    </row>
    <row r="8" spans="1:16" x14ac:dyDescent="0.25">
      <c r="A8" t="s">
        <v>39</v>
      </c>
      <c r="B8">
        <f t="shared" ref="B8:H8" si="5">B6/1.5</f>
        <v>1468.6666666666667</v>
      </c>
      <c r="C8">
        <f t="shared" si="5"/>
        <v>4266.666666666667</v>
      </c>
      <c r="D8">
        <f t="shared" si="5"/>
        <v>6182</v>
      </c>
      <c r="E8">
        <f t="shared" si="5"/>
        <v>1625.3333333333333</v>
      </c>
      <c r="F8">
        <f t="shared" si="5"/>
        <v>5000</v>
      </c>
      <c r="G8">
        <f t="shared" si="5"/>
        <v>1000</v>
      </c>
      <c r="H8" t="e">
        <f t="shared" si="5"/>
        <v>#VALUE!</v>
      </c>
    </row>
    <row r="9" spans="1:16" x14ac:dyDescent="0.25">
      <c r="A9" t="s">
        <v>40</v>
      </c>
      <c r="B9">
        <f t="shared" ref="B9:G9" si="6">B7*1.5</f>
        <v>1954.2633798470874</v>
      </c>
      <c r="C9">
        <f t="shared" si="6"/>
        <v>6493.481506564669</v>
      </c>
      <c r="D9">
        <f t="shared" si="6"/>
        <v>9299.6149120159862</v>
      </c>
      <c r="E9">
        <f t="shared" si="6"/>
        <v>7509.5013762145281</v>
      </c>
      <c r="F9">
        <f t="shared" si="6"/>
        <v>10360.312067031737</v>
      </c>
      <c r="G9">
        <f t="shared" si="6"/>
        <v>1585.7434754760898</v>
      </c>
      <c r="I9">
        <f t="shared" ref="I9:J9" si="7">I7*1.5</f>
        <v>2264.7460129286237</v>
      </c>
      <c r="J9">
        <f t="shared" si="7"/>
        <v>6461.9944463773436</v>
      </c>
    </row>
    <row r="10" spans="1:16" x14ac:dyDescent="0.25">
      <c r="A10" t="s">
        <v>22</v>
      </c>
      <c r="B10">
        <v>8</v>
      </c>
      <c r="C10">
        <v>25</v>
      </c>
      <c r="D10">
        <v>50</v>
      </c>
      <c r="E10">
        <v>12</v>
      </c>
      <c r="F10">
        <v>50</v>
      </c>
      <c r="G10">
        <v>50</v>
      </c>
      <c r="H10">
        <v>3.04</v>
      </c>
      <c r="I10">
        <v>9</v>
      </c>
      <c r="J10">
        <v>25</v>
      </c>
    </row>
    <row r="11" spans="1:16" x14ac:dyDescent="0.25">
      <c r="A11" t="s">
        <v>28</v>
      </c>
      <c r="B11">
        <f>B10*B10</f>
        <v>64</v>
      </c>
      <c r="C11">
        <f>C10*C10</f>
        <v>625</v>
      </c>
      <c r="D11">
        <f>D10*D10</f>
        <v>2500</v>
      </c>
      <c r="E11">
        <f t="shared" ref="E11:J11" si="8">E10*E10</f>
        <v>144</v>
      </c>
      <c r="F11">
        <f t="shared" si="8"/>
        <v>2500</v>
      </c>
      <c r="G11">
        <f t="shared" si="8"/>
        <v>2500</v>
      </c>
      <c r="H11">
        <f>H10*H10</f>
        <v>9.2416</v>
      </c>
      <c r="I11">
        <f t="shared" si="8"/>
        <v>81</v>
      </c>
      <c r="J11">
        <f t="shared" si="8"/>
        <v>625</v>
      </c>
      <c r="P11">
        <f>875/500</f>
        <v>1.75</v>
      </c>
    </row>
    <row r="12" spans="1:16" x14ac:dyDescent="0.25">
      <c r="A12" t="s">
        <v>23</v>
      </c>
      <c r="B12">
        <v>950</v>
      </c>
      <c r="C12">
        <v>3600</v>
      </c>
      <c r="D12">
        <v>5725</v>
      </c>
      <c r="E12">
        <v>835</v>
      </c>
      <c r="F12">
        <v>3350</v>
      </c>
      <c r="G12">
        <v>1000</v>
      </c>
      <c r="H12">
        <v>1509</v>
      </c>
      <c r="I12">
        <v>1000</v>
      </c>
      <c r="J12">
        <v>3500</v>
      </c>
    </row>
    <row r="13" spans="1:16" x14ac:dyDescent="0.25">
      <c r="A13" t="s">
        <v>24</v>
      </c>
      <c r="B13">
        <f t="shared" ref="B13:J13" si="9">(B11/B16)+B10</f>
        <v>3486.2608695652175</v>
      </c>
      <c r="C13">
        <f t="shared" si="9"/>
        <v>21254.619565217396</v>
      </c>
      <c r="D13">
        <f t="shared" si="9"/>
        <v>74160.671936758896</v>
      </c>
      <c r="E13">
        <f t="shared" si="9"/>
        <v>999.74464971648069</v>
      </c>
      <c r="F13">
        <f t="shared" si="9"/>
        <v>6458.0656185919343</v>
      </c>
      <c r="G13">
        <f t="shared" si="9"/>
        <v>17619.340329835082</v>
      </c>
      <c r="H13">
        <f>(H11/H16)+H10</f>
        <v>1509.8226086956522</v>
      </c>
      <c r="I13">
        <f t="shared" si="9"/>
        <v>2943.7826086956525</v>
      </c>
      <c r="J13">
        <f t="shared" si="9"/>
        <v>18552.667984189724</v>
      </c>
    </row>
    <row r="14" spans="1:16" x14ac:dyDescent="0.25">
      <c r="A14" t="s">
        <v>58</v>
      </c>
      <c r="B14">
        <f>4.6/1500</f>
        <v>3.0666666666666663E-3</v>
      </c>
      <c r="C14">
        <f>4.6/1500</f>
        <v>3.0666666666666663E-3</v>
      </c>
      <c r="D14">
        <f>4.6/1500</f>
        <v>3.0666666666666663E-3</v>
      </c>
      <c r="E14">
        <f>7.7/1500</f>
        <v>5.1333333333333335E-3</v>
      </c>
      <c r="F14">
        <f>7.7/1500</f>
        <v>5.1333333333333335E-3</v>
      </c>
      <c r="G14">
        <f>26.68/1500</f>
        <v>1.7786666666666666E-2</v>
      </c>
      <c r="H14">
        <f>4.6/1500</f>
        <v>3.0666666666666663E-3</v>
      </c>
      <c r="I14">
        <f>4.6/1500</f>
        <v>3.0666666666666663E-3</v>
      </c>
      <c r="J14">
        <f>4.6/1500</f>
        <v>3.0666666666666663E-3</v>
      </c>
      <c r="P14">
        <f>875/750</f>
        <v>1.1666666666666667</v>
      </c>
    </row>
    <row r="15" spans="1:16" x14ac:dyDescent="0.25">
      <c r="A15" t="s">
        <v>25</v>
      </c>
      <c r="B15">
        <v>6</v>
      </c>
      <c r="C15">
        <v>9.6</v>
      </c>
      <c r="D15">
        <v>11</v>
      </c>
      <c r="E15">
        <v>28.4</v>
      </c>
      <c r="F15">
        <v>76</v>
      </c>
      <c r="G15">
        <v>8</v>
      </c>
      <c r="H15">
        <v>2</v>
      </c>
      <c r="I15">
        <v>9</v>
      </c>
      <c r="J15">
        <v>11</v>
      </c>
    </row>
    <row r="16" spans="1:16" x14ac:dyDescent="0.25">
      <c r="A16" t="s">
        <v>29</v>
      </c>
      <c r="B16">
        <f t="shared" ref="B16:J16" si="10">B15*B14</f>
        <v>1.84E-2</v>
      </c>
      <c r="C16">
        <f t="shared" si="10"/>
        <v>2.9439999999999994E-2</v>
      </c>
      <c r="D16">
        <f t="shared" si="10"/>
        <v>3.373333333333333E-2</v>
      </c>
      <c r="E16">
        <f t="shared" si="10"/>
        <v>0.14578666666666668</v>
      </c>
      <c r="F16">
        <f t="shared" si="10"/>
        <v>0.39013333333333333</v>
      </c>
      <c r="G16">
        <f t="shared" si="10"/>
        <v>0.14229333333333333</v>
      </c>
      <c r="H16">
        <f t="shared" si="10"/>
        <v>6.1333333333333327E-3</v>
      </c>
      <c r="I16">
        <f t="shared" si="10"/>
        <v>2.7599999999999996E-2</v>
      </c>
      <c r="J16">
        <f t="shared" si="10"/>
        <v>3.373333333333333E-2</v>
      </c>
    </row>
    <row r="17" spans="1:31" x14ac:dyDescent="0.25">
      <c r="A17" t="s">
        <v>35</v>
      </c>
      <c r="B17">
        <f>(2*(ATAN(4.6*(B12-B10))/(2*B12*B10)))</f>
        <v>2.0665336190360713E-4</v>
      </c>
    </row>
    <row r="19" spans="1:31" x14ac:dyDescent="0.25">
      <c r="A19" t="s">
        <v>43</v>
      </c>
      <c r="B19">
        <v>5.7</v>
      </c>
      <c r="C19">
        <v>9.5</v>
      </c>
      <c r="D19">
        <v>11</v>
      </c>
      <c r="E19">
        <v>11</v>
      </c>
      <c r="F19">
        <v>21</v>
      </c>
    </row>
    <row r="20" spans="1:31" x14ac:dyDescent="0.25">
      <c r="A20" t="s">
        <v>31</v>
      </c>
      <c r="B20">
        <v>15.5</v>
      </c>
      <c r="C20">
        <v>39</v>
      </c>
      <c r="E20">
        <v>22.5</v>
      </c>
      <c r="F20">
        <v>76</v>
      </c>
    </row>
    <row r="21" spans="1:31" x14ac:dyDescent="0.25">
      <c r="A21" t="s">
        <v>30</v>
      </c>
      <c r="B21">
        <v>21.5</v>
      </c>
      <c r="C21">
        <v>57</v>
      </c>
      <c r="E21">
        <v>28.4</v>
      </c>
      <c r="F21">
        <v>111</v>
      </c>
    </row>
    <row r="23" spans="1:31" x14ac:dyDescent="0.25">
      <c r="A23" t="s">
        <v>42</v>
      </c>
    </row>
    <row r="25" spans="1:31" x14ac:dyDescent="0.25">
      <c r="A25" s="2" t="s">
        <v>45</v>
      </c>
    </row>
    <row r="27" spans="1:31" ht="15.75" thickBot="1" x14ac:dyDescent="0.3"/>
    <row r="28" spans="1:31" ht="15.75" thickBot="1" x14ac:dyDescent="0.3">
      <c r="A28" s="3">
        <v>0.7</v>
      </c>
      <c r="B28" s="4">
        <v>0.8</v>
      </c>
      <c r="C28" s="4">
        <v>0.9</v>
      </c>
      <c r="D28" s="3">
        <v>1</v>
      </c>
      <c r="E28" s="4">
        <v>1.1000000000000001</v>
      </c>
      <c r="F28" s="4">
        <v>1.2</v>
      </c>
      <c r="G28" s="3">
        <v>1.4</v>
      </c>
      <c r="H28" s="4">
        <v>1.6</v>
      </c>
      <c r="I28" s="4">
        <v>1.8</v>
      </c>
      <c r="J28" s="3">
        <v>2</v>
      </c>
      <c r="K28" s="4">
        <v>2.2000000000000002</v>
      </c>
      <c r="L28" s="4">
        <v>2.5</v>
      </c>
      <c r="M28" s="3">
        <v>2.8</v>
      </c>
      <c r="N28" s="4">
        <v>3.2</v>
      </c>
      <c r="O28" s="4">
        <v>3.5</v>
      </c>
      <c r="P28" s="3">
        <v>4</v>
      </c>
      <c r="Q28" s="4">
        <v>4.5</v>
      </c>
      <c r="R28" s="4">
        <v>5</v>
      </c>
      <c r="S28" s="3">
        <v>5.6</v>
      </c>
      <c r="T28" s="4">
        <v>6.3</v>
      </c>
      <c r="U28" s="4">
        <v>7.1</v>
      </c>
      <c r="V28" s="3">
        <v>8</v>
      </c>
      <c r="W28" s="4">
        <v>9</v>
      </c>
      <c r="X28" s="4">
        <v>10</v>
      </c>
      <c r="Y28" s="3">
        <v>11</v>
      </c>
      <c r="Z28" s="4">
        <v>13</v>
      </c>
      <c r="AA28" s="4">
        <v>14</v>
      </c>
      <c r="AB28" s="3">
        <v>16</v>
      </c>
      <c r="AC28" s="4">
        <v>18</v>
      </c>
      <c r="AD28" s="4">
        <v>20</v>
      </c>
      <c r="AE28" s="3">
        <v>22</v>
      </c>
    </row>
  </sheetData>
  <conditionalFormatting sqref="F3">
    <cfRule type="cellIs" dxfId="8" priority="10" operator="lessThan">
      <formula>$F$2</formula>
    </cfRule>
  </conditionalFormatting>
  <conditionalFormatting sqref="F7">
    <cfRule type="cellIs" dxfId="7" priority="9" operator="greaterThan">
      <formula>$F$6</formula>
    </cfRule>
  </conditionalFormatting>
  <conditionalFormatting sqref="D5">
    <cfRule type="cellIs" dxfId="6" priority="8" operator="lessThan">
      <formula>$D$2</formula>
    </cfRule>
  </conditionalFormatting>
  <conditionalFormatting sqref="D9">
    <cfRule type="cellIs" dxfId="5" priority="7" operator="greaterThan">
      <formula>$D$6</formula>
    </cfRule>
  </conditionalFormatting>
  <conditionalFormatting sqref="J3">
    <cfRule type="cellIs" dxfId="4" priority="6" operator="lessThan">
      <formula>$F$2</formula>
    </cfRule>
  </conditionalFormatting>
  <conditionalFormatting sqref="J9">
    <cfRule type="cellIs" dxfId="3" priority="4" operator="greaterThan">
      <formula>$D$6</formula>
    </cfRule>
  </conditionalFormatting>
  <conditionalFormatting sqref="I3">
    <cfRule type="cellIs" dxfId="2" priority="3" operator="lessThan">
      <formula>$F$2</formula>
    </cfRule>
  </conditionalFormatting>
  <conditionalFormatting sqref="I5:J5">
    <cfRule type="cellIs" dxfId="1" priority="2" operator="lessThan">
      <formula>$D$2</formula>
    </cfRule>
  </conditionalFormatting>
  <conditionalFormatting sqref="I9">
    <cfRule type="cellIs" dxfId="0" priority="1" operator="greaterThan">
      <formula>$D$6</formula>
    </cfRule>
  </conditionalFormatting>
  <dataValidations count="1">
    <dataValidation type="list" allowBlank="1" showInputMessage="1" showErrorMessage="1" sqref="I15:J15" xr:uid="{92265568-3EFB-4887-B6E5-D6E721F3DC1E}">
      <formula1>$A$28:$AE$28</formula1>
    </dataValidation>
  </dataValidations>
  <hyperlinks>
    <hyperlink ref="A25" r:id="rId1" xr:uid="{8816C6F2-41B5-4BA9-AA22-153AC34DD7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7C2A-ECA1-44FB-BBCA-3E556068D644}">
  <dimension ref="A1:I13"/>
  <sheetViews>
    <sheetView workbookViewId="0">
      <selection activeCell="I2" sqref="I2"/>
    </sheetView>
  </sheetViews>
  <sheetFormatPr defaultRowHeight="15" x14ac:dyDescent="0.25"/>
  <cols>
    <col min="1" max="1" width="12" bestFit="1" customWidth="1"/>
    <col min="4" max="4" width="22.5703125" bestFit="1" customWidth="1"/>
    <col min="7" max="7" width="10.140625" bestFit="1" customWidth="1"/>
    <col min="9" max="9" width="20.5703125" bestFit="1" customWidth="1"/>
  </cols>
  <sheetData>
    <row r="1" spans="1:9" x14ac:dyDescent="0.25">
      <c r="A1" t="s">
        <v>22</v>
      </c>
      <c r="B1" t="s">
        <v>25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25">
      <c r="A2">
        <v>8</v>
      </c>
      <c r="B2">
        <v>1.8</v>
      </c>
      <c r="C2">
        <v>5</v>
      </c>
      <c r="D2">
        <v>7.11</v>
      </c>
      <c r="E2">
        <v>19.09</v>
      </c>
      <c r="F2">
        <v>14</v>
      </c>
      <c r="G2">
        <v>4.5199999999999996</v>
      </c>
      <c r="H2">
        <f>E2-G2</f>
        <v>14.57</v>
      </c>
      <c r="I2">
        <f t="shared" ref="I2:I10" si="0">E2+D2</f>
        <v>26.2</v>
      </c>
    </row>
    <row r="3" spans="1:9" x14ac:dyDescent="0.25">
      <c r="A3">
        <v>8</v>
      </c>
      <c r="B3">
        <v>2</v>
      </c>
      <c r="C3">
        <v>1</v>
      </c>
      <c r="D3">
        <v>6.44</v>
      </c>
      <c r="E3">
        <v>13.8</v>
      </c>
      <c r="F3">
        <v>14</v>
      </c>
      <c r="G3">
        <v>4</v>
      </c>
      <c r="H3">
        <f>E3-G3</f>
        <v>9.8000000000000007</v>
      </c>
      <c r="I3">
        <f t="shared" si="0"/>
        <v>20.240000000000002</v>
      </c>
    </row>
    <row r="4" spans="1:9" x14ac:dyDescent="0.25">
      <c r="A4">
        <v>8</v>
      </c>
      <c r="B4">
        <v>2.5</v>
      </c>
      <c r="C4">
        <v>3</v>
      </c>
      <c r="D4">
        <v>7.26</v>
      </c>
      <c r="E4">
        <v>17.41</v>
      </c>
      <c r="F4">
        <v>14</v>
      </c>
      <c r="G4">
        <v>5</v>
      </c>
      <c r="H4">
        <f>E4-G4</f>
        <v>12.41</v>
      </c>
      <c r="I4">
        <f t="shared" si="0"/>
        <v>24.67</v>
      </c>
    </row>
    <row r="5" spans="1:9" x14ac:dyDescent="0.25">
      <c r="A5">
        <v>25</v>
      </c>
      <c r="B5">
        <v>1.7</v>
      </c>
      <c r="C5">
        <v>5</v>
      </c>
      <c r="D5">
        <v>5.2</v>
      </c>
      <c r="E5">
        <v>21.1</v>
      </c>
      <c r="F5">
        <v>17</v>
      </c>
      <c r="G5">
        <v>10.1</v>
      </c>
      <c r="H5">
        <v>11</v>
      </c>
      <c r="I5">
        <f t="shared" si="0"/>
        <v>26.3</v>
      </c>
    </row>
    <row r="6" spans="1:9" x14ac:dyDescent="0.25">
      <c r="A6">
        <v>25</v>
      </c>
      <c r="B6">
        <v>2</v>
      </c>
      <c r="C6">
        <v>3</v>
      </c>
      <c r="D6">
        <v>7.21</v>
      </c>
      <c r="E6">
        <v>20.14</v>
      </c>
      <c r="F6">
        <v>14</v>
      </c>
      <c r="G6">
        <v>4</v>
      </c>
      <c r="H6">
        <f>E6-G6</f>
        <v>16.14</v>
      </c>
      <c r="I6">
        <f t="shared" si="0"/>
        <v>27.35</v>
      </c>
    </row>
    <row r="7" spans="1:9" x14ac:dyDescent="0.25">
      <c r="A7">
        <v>25</v>
      </c>
      <c r="B7">
        <v>2</v>
      </c>
      <c r="C7">
        <v>10</v>
      </c>
      <c r="D7">
        <v>8.4700000000000006</v>
      </c>
      <c r="E7">
        <v>23.1</v>
      </c>
      <c r="F7">
        <v>20</v>
      </c>
      <c r="H7">
        <v>10.5</v>
      </c>
      <c r="I7">
        <f t="shared" si="0"/>
        <v>31.57</v>
      </c>
    </row>
    <row r="8" spans="1:9" x14ac:dyDescent="0.25">
      <c r="A8">
        <v>25</v>
      </c>
      <c r="B8">
        <v>2.5</v>
      </c>
      <c r="C8">
        <v>10</v>
      </c>
      <c r="D8">
        <v>9.609</v>
      </c>
      <c r="E8">
        <v>21.07</v>
      </c>
      <c r="F8">
        <v>17</v>
      </c>
      <c r="G8">
        <f>21.07-15.57</f>
        <v>5.5</v>
      </c>
      <c r="I8">
        <f t="shared" si="0"/>
        <v>30.679000000000002</v>
      </c>
    </row>
    <row r="9" spans="1:9" x14ac:dyDescent="0.25">
      <c r="A9">
        <v>25</v>
      </c>
      <c r="B9">
        <v>3</v>
      </c>
      <c r="C9">
        <v>3</v>
      </c>
      <c r="D9">
        <v>7.4050000000000002</v>
      </c>
      <c r="E9">
        <v>22</v>
      </c>
      <c r="F9">
        <v>14</v>
      </c>
      <c r="G9">
        <f>22-15.5</f>
        <v>6.5</v>
      </c>
      <c r="I9">
        <f t="shared" si="0"/>
        <v>29.405000000000001</v>
      </c>
    </row>
    <row r="10" spans="1:9" x14ac:dyDescent="0.25">
      <c r="A10">
        <v>25</v>
      </c>
      <c r="B10">
        <v>4</v>
      </c>
      <c r="C10">
        <v>3</v>
      </c>
      <c r="D10">
        <v>7.4050000000000002</v>
      </c>
      <c r="E10">
        <v>22</v>
      </c>
      <c r="F10">
        <v>14</v>
      </c>
      <c r="G10">
        <f>22-15.5</f>
        <v>6.5</v>
      </c>
      <c r="I10">
        <f t="shared" si="0"/>
        <v>29.405000000000001</v>
      </c>
    </row>
    <row r="11" spans="1:9" x14ac:dyDescent="0.25">
      <c r="A11">
        <v>25</v>
      </c>
      <c r="B11">
        <v>5.6</v>
      </c>
      <c r="C11">
        <v>3</v>
      </c>
      <c r="D11">
        <v>7.4050000000000002</v>
      </c>
      <c r="E11">
        <v>22</v>
      </c>
      <c r="F11">
        <v>14</v>
      </c>
      <c r="G11">
        <f t="shared" ref="G11:G13" si="1">22-15.5</f>
        <v>6.5</v>
      </c>
      <c r="I11">
        <f t="shared" ref="I11:I13" si="2">E11+D11</f>
        <v>29.405000000000001</v>
      </c>
    </row>
    <row r="12" spans="1:9" x14ac:dyDescent="0.25">
      <c r="A12">
        <v>25</v>
      </c>
      <c r="B12">
        <v>8</v>
      </c>
      <c r="C12">
        <v>3</v>
      </c>
      <c r="D12">
        <v>7.4050000000000002</v>
      </c>
      <c r="E12">
        <v>22</v>
      </c>
      <c r="F12">
        <v>14</v>
      </c>
      <c r="G12">
        <f t="shared" si="1"/>
        <v>6.5</v>
      </c>
      <c r="I12">
        <f t="shared" si="2"/>
        <v>29.405000000000001</v>
      </c>
    </row>
    <row r="13" spans="1:9" x14ac:dyDescent="0.25">
      <c r="A13">
        <v>25</v>
      </c>
      <c r="B13">
        <v>11</v>
      </c>
      <c r="C13">
        <v>3</v>
      </c>
      <c r="D13">
        <v>7.4050000000000002</v>
      </c>
      <c r="E13">
        <v>22</v>
      </c>
      <c r="F13">
        <v>14</v>
      </c>
      <c r="G13">
        <f t="shared" si="1"/>
        <v>6.5</v>
      </c>
      <c r="I13">
        <f t="shared" si="2"/>
        <v>29.405000000000001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FEA4-CA4D-487D-92EF-5230BC0DA3EF}">
  <dimension ref="A1:D5"/>
  <sheetViews>
    <sheetView workbookViewId="0">
      <selection activeCell="D5" sqref="D5"/>
    </sheetView>
  </sheetViews>
  <sheetFormatPr defaultRowHeight="15" x14ac:dyDescent="0.25"/>
  <cols>
    <col min="4" max="4" width="27.5703125" bestFit="1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>
        <v>0</v>
      </c>
      <c r="B2">
        <v>0</v>
      </c>
      <c r="C2">
        <v>1</v>
      </c>
      <c r="D2" s="5" t="s">
        <v>65</v>
      </c>
    </row>
    <row r="3" spans="1:4" x14ac:dyDescent="0.25">
      <c r="A3">
        <v>1</v>
      </c>
      <c r="B3">
        <v>0</v>
      </c>
      <c r="C3">
        <v>1</v>
      </c>
      <c r="D3" s="5" t="s">
        <v>66</v>
      </c>
    </row>
    <row r="4" spans="1:4" x14ac:dyDescent="0.25">
      <c r="A4">
        <v>0</v>
      </c>
      <c r="B4">
        <v>1</v>
      </c>
      <c r="C4">
        <v>0</v>
      </c>
      <c r="D4" s="5" t="s">
        <v>67</v>
      </c>
    </row>
    <row r="5" spans="1:4" x14ac:dyDescent="0.25">
      <c r="A5">
        <v>1</v>
      </c>
      <c r="B5">
        <v>1</v>
      </c>
      <c r="C5">
        <v>0</v>
      </c>
      <c r="D5" s="5" t="s">
        <v>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42E4-24B6-45F1-A34B-77D07CA1DB93}">
  <dimension ref="A1:T19"/>
  <sheetViews>
    <sheetView tabSelected="1"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21.140625" customWidth="1"/>
    <col min="3" max="3" width="22.28515625" bestFit="1" customWidth="1"/>
    <col min="4" max="4" width="22.28515625" customWidth="1"/>
    <col min="5" max="5" width="14.140625" bestFit="1" customWidth="1"/>
    <col min="6" max="6" width="12" bestFit="1" customWidth="1"/>
    <col min="7" max="7" width="19.7109375" style="6" bestFit="1" customWidth="1"/>
    <col min="8" max="8" width="19.7109375" style="6" customWidth="1"/>
    <col min="9" max="9" width="18.7109375" bestFit="1" customWidth="1"/>
    <col min="10" max="10" width="18.7109375" customWidth="1"/>
    <col min="11" max="11" width="20.140625" bestFit="1" customWidth="1"/>
    <col min="12" max="12" width="20.140625" customWidth="1"/>
    <col min="13" max="13" width="16" bestFit="1" customWidth="1"/>
  </cols>
  <sheetData>
    <row r="1" spans="1:20" x14ac:dyDescent="0.25">
      <c r="A1" t="s">
        <v>83</v>
      </c>
      <c r="B1" t="s">
        <v>84</v>
      </c>
      <c r="C1" t="s">
        <v>75</v>
      </c>
      <c r="D1" t="s">
        <v>85</v>
      </c>
      <c r="E1" t="s">
        <v>23</v>
      </c>
      <c r="F1" t="s">
        <v>22</v>
      </c>
      <c r="G1" s="6" t="s">
        <v>82</v>
      </c>
      <c r="H1" s="6" t="s">
        <v>86</v>
      </c>
      <c r="I1" t="s">
        <v>76</v>
      </c>
      <c r="J1" t="s">
        <v>88</v>
      </c>
      <c r="K1" t="s">
        <v>87</v>
      </c>
      <c r="L1" t="s">
        <v>89</v>
      </c>
      <c r="R1" t="s">
        <v>79</v>
      </c>
      <c r="S1" t="s">
        <v>80</v>
      </c>
      <c r="T1" t="s">
        <v>81</v>
      </c>
    </row>
    <row r="2" spans="1:20" x14ac:dyDescent="0.25">
      <c r="A2">
        <v>3.68</v>
      </c>
      <c r="B2">
        <v>2.76</v>
      </c>
      <c r="C2">
        <v>6.32</v>
      </c>
      <c r="D2">
        <v>4.74</v>
      </c>
      <c r="E2">
        <v>2300</v>
      </c>
      <c r="F2">
        <v>8</v>
      </c>
      <c r="G2" s="6">
        <f t="shared" ref="G2:I3" si="0">(2*ATAN((A2*($E2-$F2))/(2*$E2*$F2)))*(180/PI())</f>
        <v>25.818446442679345</v>
      </c>
      <c r="H2" s="6">
        <f t="shared" si="0"/>
        <v>19.507632460179423</v>
      </c>
      <c r="I2" s="6">
        <f t="shared" si="0"/>
        <v>42.971786120039702</v>
      </c>
      <c r="J2" s="6">
        <f t="shared" ref="J2:J8" si="1">I2/(N$2/N$4)</f>
        <v>34.819036184221893</v>
      </c>
      <c r="K2" s="6">
        <f>(2*ATAN((D2*($E2-$F2))/(2*$E2*$F2)))*(180/PI())</f>
        <v>32.89526310657628</v>
      </c>
      <c r="L2" s="6">
        <f t="shared" ref="L2:L8" si="2">K2/(N$2/N$4)</f>
        <v>26.654264572522283</v>
      </c>
      <c r="M2" t="s">
        <v>77</v>
      </c>
      <c r="N2">
        <v>4048</v>
      </c>
      <c r="O2">
        <v>3040</v>
      </c>
      <c r="P2">
        <f>N2/O2</f>
        <v>1.331578947368421</v>
      </c>
      <c r="R2">
        <v>7.9</v>
      </c>
      <c r="S2">
        <f>(R2*4)/5</f>
        <v>6.32</v>
      </c>
      <c r="T2">
        <f>(R2*3)/5</f>
        <v>4.74</v>
      </c>
    </row>
    <row r="3" spans="1:20" x14ac:dyDescent="0.25">
      <c r="A3">
        <v>3.68</v>
      </c>
      <c r="B3">
        <v>2.76</v>
      </c>
      <c r="C3">
        <v>6.32</v>
      </c>
      <c r="D3">
        <v>4.74</v>
      </c>
      <c r="E3">
        <v>1000</v>
      </c>
      <c r="F3">
        <v>10</v>
      </c>
      <c r="G3" s="6">
        <f t="shared" si="0"/>
        <v>20.647606710306537</v>
      </c>
      <c r="H3" s="6">
        <f t="shared" si="0"/>
        <v>15.559171859110245</v>
      </c>
      <c r="I3" s="6">
        <f t="shared" si="0"/>
        <v>34.743540673279263</v>
      </c>
      <c r="J3" s="6">
        <f t="shared" si="1"/>
        <v>28.151880782696637</v>
      </c>
      <c r="K3" s="6">
        <f>(2*ATAN((D3*($E3-$F3))/(2*$E3*$F3)))*(180/PI())</f>
        <v>26.408919135323487</v>
      </c>
      <c r="L3" s="6">
        <f t="shared" si="2"/>
        <v>21.398531315183064</v>
      </c>
    </row>
    <row r="4" spans="1:20" x14ac:dyDescent="0.25">
      <c r="A4">
        <v>3.68</v>
      </c>
      <c r="B4">
        <v>2.76</v>
      </c>
      <c r="C4">
        <v>6.32</v>
      </c>
      <c r="D4">
        <v>4.74</v>
      </c>
      <c r="E4">
        <f>E$2</f>
        <v>2300</v>
      </c>
      <c r="F4">
        <v>12</v>
      </c>
      <c r="G4" s="6">
        <f t="shared" ref="G4:G8" si="3">(2*ATAN((A4*($E4-$F4))/(2*$E4*$F4)))*(180/PI())</f>
        <v>17.345335793892701</v>
      </c>
      <c r="H4" s="6">
        <f t="shared" ref="H4:H8" si="4">(2*ATAN((B4*($E4-$F4))/(2*$E4*$F4)))*(180/PI())</f>
        <v>13.052530667988405</v>
      </c>
      <c r="I4" s="6">
        <f t="shared" ref="I4:I8" si="5">(2*ATAN((C4*($E4-$F4))/(2*$E4*$F4)))*(180/PI())</f>
        <v>29.358647532813912</v>
      </c>
      <c r="J4" s="6">
        <f t="shared" si="1"/>
        <v>23.788627447536964</v>
      </c>
      <c r="K4" s="6">
        <f t="shared" ref="K4:K8" si="6">(2*ATAN((D4*($E4-$F4))/(2*$E4*$F4)))*(180/PI())</f>
        <v>22.230604061772592</v>
      </c>
      <c r="L4" s="6">
        <f t="shared" si="2"/>
        <v>18.01294005005289</v>
      </c>
      <c r="M4" t="s">
        <v>78</v>
      </c>
      <c r="N4">
        <v>3280</v>
      </c>
      <c r="O4">
        <v>2464</v>
      </c>
      <c r="P4">
        <f>N4/O4</f>
        <v>1.3311688311688312</v>
      </c>
      <c r="R4">
        <v>4.5999999999999996</v>
      </c>
      <c r="S4">
        <f>(R4*4)/5</f>
        <v>3.6799999999999997</v>
      </c>
      <c r="T4">
        <f>(R4*3)/5</f>
        <v>2.76</v>
      </c>
    </row>
    <row r="5" spans="1:20" x14ac:dyDescent="0.25">
      <c r="A5">
        <v>3.68</v>
      </c>
      <c r="B5">
        <v>2.76</v>
      </c>
      <c r="C5">
        <v>6.32</v>
      </c>
      <c r="D5">
        <v>4.74</v>
      </c>
      <c r="E5">
        <f t="shared" ref="E5:E8" si="7">E$2</f>
        <v>2300</v>
      </c>
      <c r="F5">
        <v>16</v>
      </c>
      <c r="G5" s="6">
        <f t="shared" si="3"/>
        <v>13.029907911036663</v>
      </c>
      <c r="H5" s="6">
        <f t="shared" si="4"/>
        <v>9.790871994590745</v>
      </c>
      <c r="I5" s="6">
        <f t="shared" si="5"/>
        <v>22.192704721758481</v>
      </c>
      <c r="J5" s="6">
        <f t="shared" si="1"/>
        <v>17.982231098658058</v>
      </c>
      <c r="K5" s="6">
        <f t="shared" si="6"/>
        <v>16.735781223445066</v>
      </c>
      <c r="L5" s="6">
        <f t="shared" si="2"/>
        <v>13.560613244293434</v>
      </c>
    </row>
    <row r="6" spans="1:20" x14ac:dyDescent="0.25">
      <c r="A6">
        <v>3.68</v>
      </c>
      <c r="B6">
        <v>2.76</v>
      </c>
      <c r="C6">
        <v>6.32</v>
      </c>
      <c r="D6">
        <v>4.74</v>
      </c>
      <c r="E6">
        <f t="shared" si="7"/>
        <v>2300</v>
      </c>
      <c r="F6">
        <v>25</v>
      </c>
      <c r="G6" s="6">
        <f t="shared" si="3"/>
        <v>8.3275746269850153</v>
      </c>
      <c r="H6" s="6">
        <f t="shared" si="4"/>
        <v>6.2504928132009852</v>
      </c>
      <c r="I6" s="6">
        <f t="shared" si="5"/>
        <v>14.252976043447459</v>
      </c>
      <c r="J6" s="6">
        <f t="shared" si="1"/>
        <v>11.548854106350708</v>
      </c>
      <c r="K6" s="6">
        <f t="shared" si="6"/>
        <v>10.713872556958407</v>
      </c>
      <c r="L6" s="6">
        <f t="shared" si="2"/>
        <v>8.6812010837014757</v>
      </c>
    </row>
    <row r="7" spans="1:20" x14ac:dyDescent="0.25">
      <c r="A7">
        <v>3.68</v>
      </c>
      <c r="B7">
        <v>2.76</v>
      </c>
      <c r="C7">
        <v>6.32</v>
      </c>
      <c r="D7">
        <v>4.74</v>
      </c>
      <c r="E7">
        <f t="shared" si="7"/>
        <v>2300</v>
      </c>
      <c r="F7">
        <v>35</v>
      </c>
      <c r="G7" s="6">
        <f t="shared" si="3"/>
        <v>5.9272769038249349</v>
      </c>
      <c r="H7" s="6">
        <f t="shared" si="4"/>
        <v>4.4471924842116595</v>
      </c>
      <c r="I7" s="6">
        <f t="shared" si="5"/>
        <v>10.161820694499928</v>
      </c>
      <c r="J7" s="6">
        <f t="shared" si="1"/>
        <v>8.2338863334880834</v>
      </c>
      <c r="K7" s="6">
        <f t="shared" si="6"/>
        <v>7.6301101249135801</v>
      </c>
      <c r="L7" s="6">
        <f t="shared" si="2"/>
        <v>6.1825002988430198</v>
      </c>
    </row>
    <row r="8" spans="1:20" x14ac:dyDescent="0.25">
      <c r="A8">
        <v>3.68</v>
      </c>
      <c r="B8">
        <v>2.76</v>
      </c>
      <c r="C8">
        <v>6.32</v>
      </c>
      <c r="D8">
        <v>4.74</v>
      </c>
      <c r="E8">
        <v>2300</v>
      </c>
      <c r="F8">
        <v>50</v>
      </c>
      <c r="G8" s="6">
        <f t="shared" si="3"/>
        <v>4.1235153815170804</v>
      </c>
      <c r="H8" s="6">
        <f t="shared" si="4"/>
        <v>3.0932205871692577</v>
      </c>
      <c r="I8" s="6">
        <f t="shared" si="5"/>
        <v>7.0757412731001343</v>
      </c>
      <c r="J8" s="6">
        <f t="shared" si="1"/>
        <v>5.7333081461878557</v>
      </c>
      <c r="K8" s="6">
        <f t="shared" si="6"/>
        <v>5.3097573813136281</v>
      </c>
      <c r="L8" s="6">
        <f t="shared" si="2"/>
        <v>4.3023725816968135</v>
      </c>
    </row>
    <row r="13" spans="1:20" x14ac:dyDescent="0.25">
      <c r="K13">
        <v>5.31</v>
      </c>
      <c r="L13">
        <f>K13/K14</f>
        <v>0.98515769944341369</v>
      </c>
    </row>
    <row r="14" spans="1:20" x14ac:dyDescent="0.25">
      <c r="K14">
        <v>5.39</v>
      </c>
    </row>
    <row r="18" spans="11:12" x14ac:dyDescent="0.25">
      <c r="K18">
        <v>32.5</v>
      </c>
    </row>
    <row r="19" spans="11:12" x14ac:dyDescent="0.25">
      <c r="K19">
        <v>32.9</v>
      </c>
      <c r="L19">
        <f>K18/K19</f>
        <v>0.9878419452887538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802C-4CE4-48DE-9EBE-406BBEB21DE3}">
  <dimension ref="A1:C13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97</v>
      </c>
      <c r="B1" t="s">
        <v>90</v>
      </c>
      <c r="C1" t="s">
        <v>91</v>
      </c>
    </row>
    <row r="2" spans="1:3" x14ac:dyDescent="0.25">
      <c r="A2" t="s">
        <v>92</v>
      </c>
      <c r="B2">
        <v>340</v>
      </c>
      <c r="C2">
        <v>410</v>
      </c>
    </row>
    <row r="3" spans="1:3" x14ac:dyDescent="0.25">
      <c r="A3" t="s">
        <v>93</v>
      </c>
      <c r="B3">
        <v>450</v>
      </c>
      <c r="C3">
        <v>2350</v>
      </c>
    </row>
    <row r="4" spans="1:3" x14ac:dyDescent="0.25">
      <c r="A4" t="s">
        <v>94</v>
      </c>
      <c r="B4">
        <v>12</v>
      </c>
      <c r="C4">
        <v>50</v>
      </c>
    </row>
    <row r="5" spans="1:3" x14ac:dyDescent="0.25">
      <c r="A5" t="s">
        <v>95</v>
      </c>
      <c r="B5">
        <v>2392</v>
      </c>
      <c r="C5">
        <v>8450</v>
      </c>
    </row>
    <row r="6" spans="1:3" x14ac:dyDescent="0.25">
      <c r="A6" t="s">
        <v>96</v>
      </c>
      <c r="B6">
        <v>67.400000000000006</v>
      </c>
      <c r="C6">
        <v>83.66</v>
      </c>
    </row>
    <row r="8" spans="1:3" x14ac:dyDescent="0.25">
      <c r="A8" t="s">
        <v>98</v>
      </c>
      <c r="B8" t="s">
        <v>90</v>
      </c>
      <c r="C8" t="s">
        <v>91</v>
      </c>
    </row>
    <row r="9" spans="1:3" x14ac:dyDescent="0.25">
      <c r="A9" t="s">
        <v>92</v>
      </c>
      <c r="B9">
        <v>340</v>
      </c>
      <c r="C9">
        <v>410</v>
      </c>
    </row>
    <row r="10" spans="1:3" x14ac:dyDescent="0.25">
      <c r="A10" t="s">
        <v>93</v>
      </c>
      <c r="B10">
        <v>500</v>
      </c>
      <c r="C10">
        <v>2222</v>
      </c>
    </row>
    <row r="11" spans="1:3" x14ac:dyDescent="0.25">
      <c r="A11" t="s">
        <v>94</v>
      </c>
      <c r="B11">
        <v>8</v>
      </c>
      <c r="C11">
        <v>25</v>
      </c>
    </row>
    <row r="12" spans="1:3" x14ac:dyDescent="0.25">
      <c r="A12" t="s">
        <v>95</v>
      </c>
      <c r="B12">
        <v>2272</v>
      </c>
      <c r="C12">
        <v>11272</v>
      </c>
    </row>
    <row r="13" spans="1:3" x14ac:dyDescent="0.25">
      <c r="A13" t="s">
        <v>96</v>
      </c>
      <c r="B13">
        <v>68.64</v>
      </c>
      <c r="C13">
        <v>83.73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Bowyer</dc:creator>
  <cp:lastModifiedBy>James Bowyer</cp:lastModifiedBy>
  <dcterms:created xsi:type="dcterms:W3CDTF">2019-12-19T13:42:49Z</dcterms:created>
  <dcterms:modified xsi:type="dcterms:W3CDTF">2020-07-18T23:14:59Z</dcterms:modified>
</cp:coreProperties>
</file>