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730" windowHeight="11760"/>
  </bookViews>
  <sheets>
    <sheet name="Duration" sheetId="1" r:id="rId1"/>
    <sheet name="Convexity" sheetId="4" r:id="rId2"/>
    <sheet name="Bootstrap" sheetId="5" r:id="rId3"/>
  </sheets>
  <definedNames>
    <definedName name="_xlnm.Print_Area" localSheetId="2">Bootstrap!$A$1:$G$10</definedName>
    <definedName name="_xlnm.Print_Area" localSheetId="1">Convexity!$A$1:$K$34</definedName>
    <definedName name="_xlnm.Print_Area" localSheetId="0">Duration!$A$1:$J$28</definedName>
  </definedNames>
  <calcPr calcId="124519"/>
</workbook>
</file>

<file path=xl/calcChain.xml><?xml version="1.0" encoding="utf-8"?>
<calcChain xmlns="http://schemas.openxmlformats.org/spreadsheetml/2006/main">
  <c r="E6" i="5"/>
  <c r="F6" s="1"/>
  <c r="E7"/>
  <c r="E8" s="1"/>
  <c r="F8" l="1"/>
  <c r="E9"/>
  <c r="F9" s="1"/>
  <c r="F7"/>
  <c r="E32" i="4" l="1"/>
  <c r="D32"/>
  <c r="D31"/>
  <c r="E31"/>
  <c r="E30"/>
  <c r="D30"/>
  <c r="J20"/>
  <c r="J21"/>
  <c r="J19"/>
  <c r="I20"/>
  <c r="I21"/>
  <c r="I19"/>
  <c r="E20"/>
  <c r="E21"/>
  <c r="E19"/>
  <c r="D20"/>
  <c r="D21"/>
  <c r="D19"/>
  <c r="D24" i="1"/>
  <c r="D23"/>
  <c r="D22"/>
  <c r="D21"/>
  <c r="D20"/>
  <c r="D9"/>
  <c r="D10"/>
  <c r="D11"/>
  <c r="D12"/>
  <c r="D8"/>
  <c r="F9"/>
  <c r="F21" i="4"/>
  <c r="D6"/>
  <c r="F6"/>
  <c r="G6"/>
  <c r="D7"/>
  <c r="F7"/>
  <c r="G7"/>
  <c r="D8"/>
  <c r="F8"/>
  <c r="G8"/>
  <c r="D9"/>
  <c r="G9" s="1"/>
  <c r="F9"/>
  <c r="D10"/>
  <c r="F10"/>
  <c r="G10"/>
  <c r="D11"/>
  <c r="F11"/>
  <c r="G11"/>
  <c r="D12"/>
  <c r="F12"/>
  <c r="G12"/>
  <c r="G21"/>
  <c r="G20"/>
  <c r="F20"/>
  <c r="G19"/>
  <c r="F19"/>
  <c r="F24" i="1"/>
  <c r="E24"/>
  <c r="F23"/>
  <c r="E23"/>
  <c r="F22"/>
  <c r="E22"/>
  <c r="F21"/>
  <c r="E21"/>
  <c r="F20"/>
  <c r="E20"/>
  <c r="E12"/>
  <c r="E9"/>
  <c r="G9" s="1"/>
  <c r="E10"/>
  <c r="E11"/>
  <c r="E8"/>
  <c r="F10"/>
  <c r="F11"/>
  <c r="F12"/>
  <c r="F8"/>
  <c r="F32" i="4" l="1"/>
  <c r="G10" i="1"/>
  <c r="G8"/>
  <c r="G11"/>
  <c r="G12"/>
  <c r="F31" i="4"/>
  <c r="F30"/>
  <c r="H12"/>
  <c r="H11"/>
  <c r="H10"/>
  <c r="H8"/>
  <c r="H6"/>
  <c r="H9"/>
  <c r="H7"/>
  <c r="H19"/>
  <c r="H20"/>
  <c r="H21"/>
  <c r="G20" i="1"/>
  <c r="G21"/>
  <c r="G22"/>
  <c r="G23"/>
  <c r="G24"/>
  <c r="H12" l="1"/>
  <c r="H10"/>
  <c r="H11"/>
  <c r="H8"/>
  <c r="H9"/>
  <c r="H22" i="4"/>
  <c r="C26" s="1"/>
  <c r="G25" i="1"/>
  <c r="H24" s="1"/>
  <c r="I24" s="1"/>
  <c r="G13"/>
  <c r="H22" l="1"/>
  <c r="I22" s="1"/>
  <c r="H20"/>
  <c r="I20" s="1"/>
  <c r="H23"/>
  <c r="I23" s="1"/>
  <c r="H21"/>
  <c r="I21" s="1"/>
  <c r="H13"/>
  <c r="E17" s="1"/>
  <c r="H14" l="1"/>
  <c r="F17" s="1"/>
  <c r="G17" s="1"/>
  <c r="J22" i="4"/>
  <c r="J23" s="1"/>
  <c r="I22"/>
  <c r="D26" s="1"/>
  <c r="I25" i="1"/>
  <c r="C17" l="1"/>
  <c r="D17" s="1"/>
  <c r="I26"/>
  <c r="I27" s="1"/>
  <c r="E26" i="4"/>
  <c r="F26" s="1"/>
  <c r="G26"/>
</calcChain>
</file>

<file path=xl/sharedStrings.xml><?xml version="1.0" encoding="utf-8"?>
<sst xmlns="http://schemas.openxmlformats.org/spreadsheetml/2006/main" count="80" uniqueCount="53">
  <si>
    <t>계산:</t>
    <phoneticPr fontId="1" type="noConversion"/>
  </si>
  <si>
    <t>F</t>
    <phoneticPr fontId="1" type="noConversion"/>
  </si>
  <si>
    <t>T</t>
    <phoneticPr fontId="1" type="noConversion"/>
  </si>
  <si>
    <t>c</t>
    <phoneticPr fontId="1" type="noConversion"/>
  </si>
  <si>
    <t>m</t>
    <phoneticPr fontId="1" type="noConversion"/>
  </si>
  <si>
    <t>y</t>
    <phoneticPr fontId="1" type="noConversion"/>
  </si>
  <si>
    <t>Sum</t>
    <phoneticPr fontId="1" type="noConversion"/>
  </si>
  <si>
    <r>
      <t>CF</t>
    </r>
    <r>
      <rPr>
        <vertAlign val="subscript"/>
        <sz val="11"/>
        <color theme="1"/>
        <rFont val="하나 L"/>
        <family val="1"/>
        <charset val="129"/>
      </rPr>
      <t>t</t>
    </r>
    <phoneticPr fontId="1" type="noConversion"/>
  </si>
  <si>
    <r>
      <t>DF</t>
    </r>
    <r>
      <rPr>
        <vertAlign val="subscript"/>
        <sz val="11"/>
        <color theme="1"/>
        <rFont val="하나 L"/>
        <family val="1"/>
        <charset val="129"/>
      </rPr>
      <t>t</t>
    </r>
    <phoneticPr fontId="1" type="noConversion"/>
  </si>
  <si>
    <r>
      <t>PV</t>
    </r>
    <r>
      <rPr>
        <vertAlign val="subscript"/>
        <sz val="11"/>
        <color theme="1"/>
        <rFont val="하나 L"/>
        <family val="1"/>
        <charset val="129"/>
      </rPr>
      <t>t</t>
    </r>
    <phoneticPr fontId="1" type="noConversion"/>
  </si>
  <si>
    <t>분석:</t>
    <phoneticPr fontId="1" type="noConversion"/>
  </si>
  <si>
    <t>조건:</t>
    <phoneticPr fontId="1" type="noConversion"/>
  </si>
  <si>
    <r>
      <t>(t/m)×PV</t>
    </r>
    <r>
      <rPr>
        <vertAlign val="subscript"/>
        <sz val="11"/>
        <color theme="1"/>
        <rFont val="하나 L"/>
        <family val="1"/>
        <charset val="129"/>
      </rPr>
      <t>t</t>
    </r>
    <phoneticPr fontId="1" type="noConversion"/>
  </si>
  <si>
    <r>
      <t>w</t>
    </r>
    <r>
      <rPr>
        <vertAlign val="subscript"/>
        <sz val="11"/>
        <color theme="1"/>
        <rFont val="하나 L"/>
        <family val="1"/>
        <charset val="129"/>
      </rPr>
      <t>t</t>
    </r>
    <r>
      <rPr>
        <sz val="11"/>
        <color theme="1"/>
        <rFont val="하나 L"/>
        <family val="1"/>
        <charset val="129"/>
      </rPr>
      <t>=(PV</t>
    </r>
    <r>
      <rPr>
        <vertAlign val="subscript"/>
        <sz val="11"/>
        <color theme="1"/>
        <rFont val="하나 L"/>
        <family val="1"/>
        <charset val="129"/>
      </rPr>
      <t>t</t>
    </r>
    <r>
      <rPr>
        <sz val="11"/>
        <color theme="1"/>
        <rFont val="하나 L"/>
        <family val="1"/>
        <charset val="129"/>
      </rPr>
      <t>/P)</t>
    </r>
    <phoneticPr fontId="1" type="noConversion"/>
  </si>
  <si>
    <r>
      <t>w</t>
    </r>
    <r>
      <rPr>
        <vertAlign val="subscript"/>
        <sz val="11"/>
        <color theme="1"/>
        <rFont val="하나 L"/>
        <family val="1"/>
        <charset val="129"/>
      </rPr>
      <t>t</t>
    </r>
    <r>
      <rPr>
        <sz val="11"/>
        <color theme="1"/>
        <rFont val="하나 L"/>
        <family val="1"/>
        <charset val="129"/>
      </rPr>
      <t>×(t/m)</t>
    </r>
    <phoneticPr fontId="1" type="noConversion"/>
  </si>
  <si>
    <t>Cash Duration, Modified Duraion, and Macaulay Duration</t>
    <phoneticPr fontId="1" type="noConversion"/>
  </si>
  <si>
    <t>Price</t>
    <phoneticPr fontId="1" type="noConversion"/>
  </si>
  <si>
    <t>Mac.Dur</t>
    <phoneticPr fontId="1" type="noConversion"/>
  </si>
  <si>
    <t>Mod.Dur</t>
    <phoneticPr fontId="1" type="noConversion"/>
  </si>
  <si>
    <t>Cash.Dur</t>
    <phoneticPr fontId="1" type="noConversion"/>
  </si>
  <si>
    <t>Cash.Dur. =</t>
    <phoneticPr fontId="1" type="noConversion"/>
  </si>
  <si>
    <t>YTM</t>
    <phoneticPr fontId="1" type="noConversion"/>
  </si>
  <si>
    <t>ΔYTM</t>
    <phoneticPr fontId="1" type="noConversion"/>
  </si>
  <si>
    <t>P</t>
    <phoneticPr fontId="1" type="noConversion"/>
  </si>
  <si>
    <t xml:space="preserve"> Actual ΔP</t>
    <phoneticPr fontId="1" type="noConversion"/>
  </si>
  <si>
    <t>ΔP using Dur.</t>
    <phoneticPr fontId="1" type="noConversion"/>
  </si>
  <si>
    <t>Error</t>
    <phoneticPr fontId="1" type="noConversion"/>
  </si>
  <si>
    <t>t(첨자)</t>
    <phoneticPr fontId="1" type="noConversion"/>
  </si>
  <si>
    <t>Convexity</t>
    <phoneticPr fontId="1" type="noConversion"/>
  </si>
  <si>
    <t>Cash.Cur</t>
    <phoneticPr fontId="1" type="noConversion"/>
  </si>
  <si>
    <r>
      <t>Convexity (=Sum÷(1+y/m)</t>
    </r>
    <r>
      <rPr>
        <vertAlign val="superscript"/>
        <sz val="11"/>
        <color theme="1"/>
        <rFont val="하나 L"/>
        <family val="1"/>
        <charset val="129"/>
      </rPr>
      <t>2</t>
    </r>
    <r>
      <rPr>
        <sz val="11"/>
        <color theme="1"/>
        <rFont val="하나 L"/>
        <family val="1"/>
        <charset val="129"/>
      </rPr>
      <t>÷P)</t>
    </r>
    <phoneticPr fontId="1" type="noConversion"/>
  </si>
  <si>
    <t>Δy (bp)</t>
    <phoneticPr fontId="1" type="noConversion"/>
  </si>
  <si>
    <t>ΔP</t>
    <phoneticPr fontId="1" type="noConversion"/>
  </si>
  <si>
    <t>P(y+Δy)</t>
    <phoneticPr fontId="1" type="noConversion"/>
  </si>
  <si>
    <t>Cash Duration (=Sumx(-1)/(1+y/m))</t>
    <phoneticPr fontId="1" type="noConversion"/>
  </si>
  <si>
    <r>
      <t>(t/m)×(t+1)/m×PV</t>
    </r>
    <r>
      <rPr>
        <vertAlign val="subscript"/>
        <sz val="11"/>
        <color theme="1"/>
        <rFont val="하나 L"/>
        <family val="1"/>
        <charset val="129"/>
      </rPr>
      <t>t</t>
    </r>
    <phoneticPr fontId="1" type="noConversion"/>
  </si>
  <si>
    <t>t/m</t>
    <phoneticPr fontId="1" type="noConversion"/>
  </si>
  <si>
    <t>(t+1)/m</t>
    <phoneticPr fontId="1" type="noConversion"/>
  </si>
  <si>
    <t xml:space="preserve"> by MD</t>
    <phoneticPr fontId="1" type="noConversion"/>
  </si>
  <si>
    <t>by C</t>
    <phoneticPr fontId="1" type="noConversion"/>
  </si>
  <si>
    <t>Total</t>
    <phoneticPr fontId="1" type="noConversion"/>
  </si>
  <si>
    <t>Δy
(%pt)</t>
    <phoneticPr fontId="1" type="noConversion"/>
  </si>
  <si>
    <t>(p7)</t>
    <phoneticPr fontId="1" type="noConversion"/>
  </si>
  <si>
    <t>(p5)</t>
    <phoneticPr fontId="1" type="noConversion"/>
  </si>
  <si>
    <t>(p3)</t>
    <phoneticPr fontId="1" type="noConversion"/>
  </si>
  <si>
    <t>Zero Rate</t>
    <phoneticPr fontId="1" type="noConversion"/>
  </si>
  <si>
    <t>DF</t>
    <phoneticPr fontId="1" type="noConversion"/>
  </si>
  <si>
    <r>
      <rPr>
        <b/>
        <sz val="12"/>
        <color theme="1"/>
        <rFont val="하나 L"/>
        <family val="1"/>
        <charset val="129"/>
      </rPr>
      <t>&lt;만기별 채권가격</t>
    </r>
    <r>
      <rPr>
        <sz val="11"/>
        <color theme="1"/>
        <rFont val="하나 L"/>
        <family val="1"/>
        <charset val="129"/>
      </rPr>
      <t>(※액면=100, 연2회 이자 지급 가정)</t>
    </r>
    <r>
      <rPr>
        <b/>
        <sz val="12"/>
        <color theme="1"/>
        <rFont val="하나 L"/>
        <family val="1"/>
        <charset val="129"/>
      </rPr>
      <t>&gt;</t>
    </r>
    <phoneticPr fontId="1" type="noConversion"/>
  </si>
  <si>
    <r>
      <t>만기</t>
    </r>
    <r>
      <rPr>
        <sz val="10"/>
        <color theme="0"/>
        <rFont val="하나 L"/>
        <family val="1"/>
        <charset val="129"/>
      </rPr>
      <t>(년)</t>
    </r>
    <phoneticPr fontId="1" type="noConversion"/>
  </si>
  <si>
    <t>채권 가격</t>
    <phoneticPr fontId="1" type="noConversion"/>
  </si>
  <si>
    <t>연간 쿠폰</t>
    <phoneticPr fontId="1" type="noConversion"/>
  </si>
  <si>
    <t>Bootstrapping</t>
    <phoneticPr fontId="1" type="noConversion"/>
  </si>
  <si>
    <t>(p14)</t>
    <phoneticPr fontId="1" type="noConversion"/>
  </si>
</sst>
</file>

<file path=xl/styles.xml><?xml version="1.0" encoding="utf-8"?>
<styleSheet xmlns="http://schemas.openxmlformats.org/spreadsheetml/2006/main">
  <numFmts count="12">
    <numFmt numFmtId="176" formatCode="#,##0.00_ "/>
    <numFmt numFmtId="177" formatCode="0_ "/>
    <numFmt numFmtId="178" formatCode="0.00_ "/>
    <numFmt numFmtId="179" formatCode="#,##0_ ;[Red]\-#,##0\ "/>
    <numFmt numFmtId="180" formatCode="#,##0.0000_);[Red]\(#,##0.0000\)"/>
    <numFmt numFmtId="181" formatCode="#,##0_ "/>
    <numFmt numFmtId="182" formatCode="0.00000000_ "/>
    <numFmt numFmtId="183" formatCode="#,##0.0000_ "/>
    <numFmt numFmtId="184" formatCode="0.0000_ "/>
    <numFmt numFmtId="185" formatCode="#,##0.00_ ;[Red]\-#,##0.00\ "/>
    <numFmt numFmtId="186" formatCode="0.0000_ ;[Red]\-0.0000\ "/>
    <numFmt numFmtId="187" formatCode="0.0_ 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하나 L"/>
      <family val="1"/>
      <charset val="129"/>
    </font>
    <font>
      <vertAlign val="subscript"/>
      <sz val="11"/>
      <color theme="1"/>
      <name val="하나 L"/>
      <family val="1"/>
      <charset val="129"/>
    </font>
    <font>
      <sz val="11"/>
      <color rgb="FF0000CC"/>
      <name val="하나 L"/>
      <family val="1"/>
      <charset val="129"/>
    </font>
    <font>
      <vertAlign val="superscript"/>
      <sz val="11"/>
      <color theme="1"/>
      <name val="하나 L"/>
      <family val="1"/>
      <charset val="129"/>
    </font>
    <font>
      <sz val="11"/>
      <color theme="0"/>
      <name val="하나 L"/>
      <family val="1"/>
      <charset val="129"/>
    </font>
    <font>
      <sz val="13"/>
      <color theme="0"/>
      <name val="하나 L"/>
      <family val="1"/>
      <charset val="129"/>
    </font>
    <font>
      <b/>
      <sz val="15"/>
      <color theme="0"/>
      <name val="하나 L"/>
      <family val="1"/>
      <charset val="129"/>
    </font>
    <font>
      <b/>
      <sz val="12"/>
      <color theme="1"/>
      <name val="하나 L"/>
      <family val="1"/>
      <charset val="129"/>
    </font>
    <font>
      <b/>
      <sz val="11"/>
      <color theme="0"/>
      <name val="하나 L"/>
      <family val="1"/>
      <charset val="129"/>
    </font>
    <font>
      <sz val="10"/>
      <color theme="0"/>
      <name val="하나 L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66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9" fontId="2" fillId="0" borderId="2" xfId="0" applyNumberFormat="1" applyFont="1" applyBorder="1">
      <alignment vertical="center"/>
    </xf>
    <xf numFmtId="179" fontId="2" fillId="0" borderId="3" xfId="0" applyNumberFormat="1" applyFont="1" applyBorder="1">
      <alignment vertical="center"/>
    </xf>
    <xf numFmtId="179" fontId="2" fillId="0" borderId="4" xfId="0" applyNumberFormat="1" applyFont="1" applyBorder="1">
      <alignment vertical="center"/>
    </xf>
    <xf numFmtId="179" fontId="2" fillId="0" borderId="1" xfId="0" applyNumberFormat="1" applyFont="1" applyBorder="1">
      <alignment vertical="center"/>
    </xf>
    <xf numFmtId="179" fontId="2" fillId="2" borderId="1" xfId="0" applyNumberFormat="1" applyFont="1" applyFill="1" applyBorder="1">
      <alignment vertical="center"/>
    </xf>
    <xf numFmtId="179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80" fontId="2" fillId="2" borderId="1" xfId="0" applyNumberFormat="1" applyFont="1" applyFill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82" fontId="2" fillId="0" borderId="0" xfId="0" applyNumberFormat="1" applyFont="1">
      <alignment vertical="center"/>
    </xf>
    <xf numFmtId="183" fontId="2" fillId="0" borderId="2" xfId="0" applyNumberFormat="1" applyFont="1" applyBorder="1" applyAlignment="1">
      <alignment horizontal="center" vertical="center"/>
    </xf>
    <xf numFmtId="183" fontId="2" fillId="0" borderId="3" xfId="0" applyNumberFormat="1" applyFont="1" applyBorder="1" applyAlignment="1">
      <alignment horizontal="center" vertical="center"/>
    </xf>
    <xf numFmtId="183" fontId="2" fillId="0" borderId="4" xfId="0" applyNumberFormat="1" applyFont="1" applyBorder="1" applyAlignment="1">
      <alignment horizontal="center" vertical="center"/>
    </xf>
    <xf numFmtId="184" fontId="2" fillId="2" borderId="1" xfId="0" applyNumberFormat="1" applyFont="1" applyFill="1" applyBorder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/>
    </xf>
    <xf numFmtId="181" fontId="2" fillId="0" borderId="0" xfId="0" applyNumberFormat="1" applyFont="1" applyAlignment="1">
      <alignment horizontal="left" vertical="center"/>
    </xf>
    <xf numFmtId="9" fontId="2" fillId="0" borderId="3" xfId="0" applyNumberFormat="1" applyFont="1" applyBorder="1" applyAlignment="1">
      <alignment horizontal="center" vertical="center"/>
    </xf>
    <xf numFmtId="179" fontId="2" fillId="0" borderId="3" xfId="0" applyNumberFormat="1" applyFont="1" applyBorder="1" applyAlignment="1">
      <alignment horizontal="right" vertical="center"/>
    </xf>
    <xf numFmtId="181" fontId="2" fillId="0" borderId="3" xfId="0" applyNumberFormat="1" applyFont="1" applyBorder="1">
      <alignment vertical="center"/>
    </xf>
    <xf numFmtId="9" fontId="2" fillId="5" borderId="3" xfId="0" applyNumberFormat="1" applyFont="1" applyFill="1" applyBorder="1" applyAlignment="1">
      <alignment horizontal="center" vertical="center"/>
    </xf>
    <xf numFmtId="179" fontId="2" fillId="5" borderId="3" xfId="0" applyNumberFormat="1" applyFont="1" applyFill="1" applyBorder="1" applyAlignment="1">
      <alignment horizontal="right" vertical="center"/>
    </xf>
    <xf numFmtId="181" fontId="2" fillId="5" borderId="3" xfId="0" applyNumberFormat="1" applyFont="1" applyFill="1" applyBorder="1">
      <alignment vertical="center"/>
    </xf>
    <xf numFmtId="179" fontId="2" fillId="5" borderId="3" xfId="0" applyNumberFormat="1" applyFont="1" applyFill="1" applyBorder="1">
      <alignment vertical="center"/>
    </xf>
    <xf numFmtId="9" fontId="2" fillId="0" borderId="4" xfId="0" applyNumberFormat="1" applyFont="1" applyBorder="1" applyAlignment="1">
      <alignment horizontal="center" vertical="center"/>
    </xf>
    <xf numFmtId="179" fontId="2" fillId="0" borderId="4" xfId="0" applyNumberFormat="1" applyFont="1" applyBorder="1" applyAlignment="1">
      <alignment horizontal="right" vertical="center"/>
    </xf>
    <xf numFmtId="181" fontId="2" fillId="0" borderId="4" xfId="0" applyNumberFormat="1" applyFont="1" applyBorder="1">
      <alignment vertical="center"/>
    </xf>
    <xf numFmtId="180" fontId="2" fillId="0" borderId="2" xfId="0" applyNumberFormat="1" applyFont="1" applyBorder="1" applyAlignment="1">
      <alignment horizontal="center" vertical="center"/>
    </xf>
    <xf numFmtId="180" fontId="2" fillId="0" borderId="3" xfId="0" applyNumberFormat="1" applyFont="1" applyBorder="1" applyAlignment="1">
      <alignment horizontal="center" vertical="center"/>
    </xf>
    <xf numFmtId="180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9" fontId="2" fillId="2" borderId="4" xfId="0" applyNumberFormat="1" applyFont="1" applyFill="1" applyBorder="1">
      <alignment vertical="center"/>
    </xf>
    <xf numFmtId="181" fontId="2" fillId="0" borderId="2" xfId="0" applyNumberFormat="1" applyFont="1" applyBorder="1" applyAlignment="1">
      <alignment horizontal="right" vertical="center"/>
    </xf>
    <xf numFmtId="181" fontId="2" fillId="0" borderId="3" xfId="0" applyNumberFormat="1" applyFont="1" applyBorder="1" applyAlignment="1">
      <alignment horizontal="right" vertical="center"/>
    </xf>
    <xf numFmtId="181" fontId="2" fillId="0" borderId="4" xfId="0" applyNumberFormat="1" applyFont="1" applyBorder="1" applyAlignment="1">
      <alignment horizontal="right" vertical="center"/>
    </xf>
    <xf numFmtId="179" fontId="2" fillId="0" borderId="2" xfId="0" applyNumberFormat="1" applyFont="1" applyBorder="1" applyAlignment="1">
      <alignment horizontal="right" vertical="center"/>
    </xf>
    <xf numFmtId="181" fontId="2" fillId="2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185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185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/>
    </xf>
    <xf numFmtId="185" fontId="2" fillId="0" borderId="1" xfId="0" applyNumberFormat="1" applyFont="1" applyBorder="1">
      <alignment vertical="center"/>
    </xf>
    <xf numFmtId="0" fontId="6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8" fillId="6" borderId="0" xfId="0" applyFont="1" applyFill="1">
      <alignment vertical="center"/>
    </xf>
    <xf numFmtId="14" fontId="2" fillId="0" borderId="0" xfId="0" applyNumberFormat="1" applyFont="1">
      <alignment vertical="center"/>
    </xf>
    <xf numFmtId="9" fontId="2" fillId="0" borderId="0" xfId="0" applyNumberFormat="1" applyFont="1">
      <alignment vertical="center"/>
    </xf>
    <xf numFmtId="0" fontId="10" fillId="7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187" fontId="2" fillId="0" borderId="1" xfId="0" applyNumberFormat="1" applyFont="1" applyBorder="1" applyAlignment="1">
      <alignment horizontal="center" vertical="center"/>
    </xf>
    <xf numFmtId="186" fontId="2" fillId="5" borderId="1" xfId="0" applyNumberFormat="1" applyFont="1" applyFill="1" applyBorder="1" applyAlignment="1">
      <alignment horizontal="center" vertical="center"/>
    </xf>
    <xf numFmtId="184" fontId="2" fillId="5" borderId="1" xfId="0" applyNumberFormat="1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CC"/>
      <color rgb="FFFFFF99"/>
      <color rgb="FFCC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showGridLines="0" tabSelected="1" view="pageBreakPreview" zoomScaleSheetLayoutView="100" workbookViewId="0"/>
  </sheetViews>
  <sheetFormatPr defaultRowHeight="14.25"/>
  <cols>
    <col min="1" max="1" width="0.625" style="1" customWidth="1"/>
    <col min="2" max="2" width="5.25" style="1" bestFit="1" customWidth="1"/>
    <col min="3" max="9" width="10.75" style="1" customWidth="1"/>
    <col min="10" max="10" width="1.875" style="1" customWidth="1"/>
    <col min="11" max="16384" width="9" style="1"/>
  </cols>
  <sheetData>
    <row r="1" spans="1:10" ht="18.75">
      <c r="A1" s="58" t="s">
        <v>15</v>
      </c>
      <c r="B1" s="57"/>
      <c r="C1" s="56"/>
      <c r="D1" s="56"/>
      <c r="E1" s="56"/>
      <c r="F1" s="56"/>
      <c r="G1" s="56"/>
      <c r="H1" s="56"/>
      <c r="I1" s="56"/>
      <c r="J1" s="56"/>
    </row>
    <row r="2" spans="1:10" ht="4.5" customHeight="1"/>
    <row r="3" spans="1:10">
      <c r="B3" s="16" t="s">
        <v>44</v>
      </c>
    </row>
    <row r="4" spans="1:10">
      <c r="B4" s="2" t="s">
        <v>11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8" t="s">
        <v>31</v>
      </c>
    </row>
    <row r="5" spans="1:10">
      <c r="B5" s="2"/>
      <c r="C5" s="18">
        <v>10000</v>
      </c>
      <c r="D5" s="4">
        <v>5</v>
      </c>
      <c r="E5" s="5">
        <v>0.05</v>
      </c>
      <c r="F5" s="4">
        <v>1</v>
      </c>
      <c r="G5" s="5">
        <v>0.1</v>
      </c>
      <c r="H5" s="4">
        <v>-25</v>
      </c>
    </row>
    <row r="6" spans="1:10" ht="4.5" customHeight="1">
      <c r="B6" s="2"/>
    </row>
    <row r="7" spans="1:10" ht="17.25">
      <c r="B7" s="2" t="s">
        <v>0</v>
      </c>
      <c r="C7" s="6" t="s">
        <v>27</v>
      </c>
      <c r="D7" s="49" t="s">
        <v>36</v>
      </c>
      <c r="E7" s="3" t="s">
        <v>7</v>
      </c>
      <c r="F7" s="3" t="s">
        <v>8</v>
      </c>
      <c r="G7" s="3" t="s">
        <v>9</v>
      </c>
      <c r="H7" s="3" t="s">
        <v>12</v>
      </c>
    </row>
    <row r="8" spans="1:10">
      <c r="C8" s="40">
        <v>1</v>
      </c>
      <c r="D8" s="53">
        <f>C8/$F$5</f>
        <v>1</v>
      </c>
      <c r="E8" s="9">
        <f>$C$5*$E$5</f>
        <v>500</v>
      </c>
      <c r="F8" s="21">
        <f>1/(1+$G$5/$F$5)^C8</f>
        <v>0.90909090909090906</v>
      </c>
      <c r="G8" s="9">
        <f>E8*F8</f>
        <v>454.5454545454545</v>
      </c>
      <c r="H8" s="9">
        <f>D8*G8</f>
        <v>454.5454545454545</v>
      </c>
    </row>
    <row r="9" spans="1:10">
      <c r="C9" s="41">
        <v>2</v>
      </c>
      <c r="D9" s="53">
        <f t="shared" ref="D9:D12" si="0">C9/$F$5</f>
        <v>2</v>
      </c>
      <c r="E9" s="10">
        <f t="shared" ref="E9:E11" si="1">$C$5*$E$5</f>
        <v>500</v>
      </c>
      <c r="F9" s="22">
        <f>1/(1+$G$5/$F$5)^C9</f>
        <v>0.82644628099173545</v>
      </c>
      <c r="G9" s="10">
        <f>E9*F9</f>
        <v>413.22314049586771</v>
      </c>
      <c r="H9" s="10">
        <f t="shared" ref="H9:H12" si="2">D9*G9</f>
        <v>826.44628099173542</v>
      </c>
    </row>
    <row r="10" spans="1:10">
      <c r="C10" s="41">
        <v>3</v>
      </c>
      <c r="D10" s="53">
        <f t="shared" si="0"/>
        <v>3</v>
      </c>
      <c r="E10" s="10">
        <f t="shared" si="1"/>
        <v>500</v>
      </c>
      <c r="F10" s="22">
        <f>1/(1+$G$5/$F$5)^C10</f>
        <v>0.75131480090157754</v>
      </c>
      <c r="G10" s="10">
        <f>E10*F10</f>
        <v>375.65740045078877</v>
      </c>
      <c r="H10" s="10">
        <f t="shared" si="2"/>
        <v>1126.9722013523663</v>
      </c>
    </row>
    <row r="11" spans="1:10">
      <c r="C11" s="41">
        <v>4</v>
      </c>
      <c r="D11" s="53">
        <f t="shared" si="0"/>
        <v>4</v>
      </c>
      <c r="E11" s="10">
        <f t="shared" si="1"/>
        <v>500</v>
      </c>
      <c r="F11" s="22">
        <f>1/(1+$G$5/$F$5)^C11</f>
        <v>0.68301345536507052</v>
      </c>
      <c r="G11" s="10">
        <f>E11*F11</f>
        <v>341.50672768253526</v>
      </c>
      <c r="H11" s="10">
        <f t="shared" si="2"/>
        <v>1366.026910730141</v>
      </c>
    </row>
    <row r="12" spans="1:10">
      <c r="C12" s="41">
        <v>5</v>
      </c>
      <c r="D12" s="53">
        <f t="shared" si="0"/>
        <v>5</v>
      </c>
      <c r="E12" s="10">
        <f>$C$5*(1+$E$5)</f>
        <v>10500</v>
      </c>
      <c r="F12" s="22">
        <f>1/(1+$G$5/$F$5)^C12</f>
        <v>0.62092132305915493</v>
      </c>
      <c r="G12" s="10">
        <f>E12*F12</f>
        <v>6519.6738921211263</v>
      </c>
      <c r="H12" s="11">
        <f t="shared" si="2"/>
        <v>32598.369460605631</v>
      </c>
    </row>
    <row r="13" spans="1:10" ht="16.5" customHeight="1">
      <c r="C13" s="68" t="s">
        <v>6</v>
      </c>
      <c r="D13" s="68"/>
      <c r="E13" s="68"/>
      <c r="F13" s="68"/>
      <c r="G13" s="13">
        <f>SUM(G8:G12)</f>
        <v>8104.6066152957728</v>
      </c>
      <c r="H13" s="12">
        <f>SUM(H8:H12)</f>
        <v>36372.360308225325</v>
      </c>
    </row>
    <row r="14" spans="1:10" ht="16.5" customHeight="1">
      <c r="C14" s="68" t="s">
        <v>34</v>
      </c>
      <c r="D14" s="68"/>
      <c r="E14" s="68"/>
      <c r="F14" s="68"/>
      <c r="G14" s="68"/>
      <c r="H14" s="13">
        <f>-H13/(1+G5/F5)</f>
        <v>-33065.782098386655</v>
      </c>
    </row>
    <row r="15" spans="1:10" ht="4.5" customHeight="1"/>
    <row r="16" spans="1:10">
      <c r="B16" s="2" t="s">
        <v>10</v>
      </c>
      <c r="C16" s="6" t="s">
        <v>19</v>
      </c>
      <c r="D16" s="6" t="s">
        <v>18</v>
      </c>
      <c r="E16" s="6" t="s">
        <v>17</v>
      </c>
      <c r="F16" s="49" t="s">
        <v>32</v>
      </c>
      <c r="G16" s="49" t="s">
        <v>33</v>
      </c>
    </row>
    <row r="17" spans="2:9">
      <c r="B17" s="2"/>
      <c r="C17" s="18">
        <f>H14</f>
        <v>-33065.782098386655</v>
      </c>
      <c r="D17" s="7">
        <f>C17/G13</f>
        <v>-4.0798750226793015</v>
      </c>
      <c r="E17" s="19">
        <f>H13/G13</f>
        <v>4.4878625249472321</v>
      </c>
      <c r="F17" s="15">
        <f>-H5*(H14/10000)</f>
        <v>-82.664455245966636</v>
      </c>
      <c r="G17" s="14">
        <f>G13+F17</f>
        <v>8021.9421600498063</v>
      </c>
    </row>
    <row r="18" spans="2:9" ht="3.75" customHeight="1">
      <c r="B18" s="2"/>
      <c r="G18" s="20"/>
    </row>
    <row r="19" spans="2:9" ht="17.25" hidden="1">
      <c r="B19" s="2"/>
      <c r="C19" s="6" t="s">
        <v>27</v>
      </c>
      <c r="D19" s="49" t="s">
        <v>36</v>
      </c>
      <c r="E19" s="6" t="s">
        <v>7</v>
      </c>
      <c r="F19" s="6" t="s">
        <v>8</v>
      </c>
      <c r="G19" s="6" t="s">
        <v>9</v>
      </c>
      <c r="H19" s="6" t="s">
        <v>13</v>
      </c>
      <c r="I19" s="6" t="s">
        <v>14</v>
      </c>
    </row>
    <row r="20" spans="2:9" hidden="1">
      <c r="C20" s="40">
        <v>1</v>
      </c>
      <c r="D20" s="40">
        <f>C20/$F$5</f>
        <v>1</v>
      </c>
      <c r="E20" s="9">
        <f>$C$5*$E$5</f>
        <v>500</v>
      </c>
      <c r="F20" s="21">
        <f>1/(1+$G$5/$F$5)^C20</f>
        <v>0.90909090909090906</v>
      </c>
      <c r="G20" s="9">
        <f>E20*F20</f>
        <v>454.5454545454545</v>
      </c>
      <c r="H20" s="37">
        <f>G20/$G$25</f>
        <v>5.6084826336616232E-2</v>
      </c>
      <c r="I20" s="37">
        <f>H20*D20</f>
        <v>5.6084826336616232E-2</v>
      </c>
    </row>
    <row r="21" spans="2:9" hidden="1">
      <c r="C21" s="41">
        <v>2</v>
      </c>
      <c r="D21" s="41">
        <f t="shared" ref="D21:D24" si="3">C21/$F$5</f>
        <v>2</v>
      </c>
      <c r="E21" s="10">
        <f t="shared" ref="E21:E23" si="4">$C$5*$E$5</f>
        <v>500</v>
      </c>
      <c r="F21" s="22">
        <f>1/(1+$G$5/$F$5)^C21</f>
        <v>0.82644628099173545</v>
      </c>
      <c r="G21" s="10">
        <f t="shared" ref="G21:G24" si="5">E21*F21</f>
        <v>413.22314049586771</v>
      </c>
      <c r="H21" s="38">
        <f>G21/$G$25</f>
        <v>5.0986205760560212E-2</v>
      </c>
      <c r="I21" s="38">
        <f t="shared" ref="I21:I24" si="6">H21*D21</f>
        <v>0.10197241152112042</v>
      </c>
    </row>
    <row r="22" spans="2:9" hidden="1">
      <c r="C22" s="41">
        <v>3</v>
      </c>
      <c r="D22" s="41">
        <f t="shared" si="3"/>
        <v>3</v>
      </c>
      <c r="E22" s="10">
        <f t="shared" si="4"/>
        <v>500</v>
      </c>
      <c r="F22" s="22">
        <f>1/(1+$G$5/$F$5)^C22</f>
        <v>0.75131480090157754</v>
      </c>
      <c r="G22" s="10">
        <f t="shared" si="5"/>
        <v>375.65740045078877</v>
      </c>
      <c r="H22" s="38">
        <f>G22/$G$25</f>
        <v>4.6351096145963819E-2</v>
      </c>
      <c r="I22" s="38">
        <f t="shared" si="6"/>
        <v>0.13905328843789144</v>
      </c>
    </row>
    <row r="23" spans="2:9" hidden="1">
      <c r="C23" s="41">
        <v>4</v>
      </c>
      <c r="D23" s="41">
        <f t="shared" si="3"/>
        <v>4</v>
      </c>
      <c r="E23" s="10">
        <f t="shared" si="4"/>
        <v>500</v>
      </c>
      <c r="F23" s="22">
        <f>1/(1+$G$5/$F$5)^C23</f>
        <v>0.68301345536507052</v>
      </c>
      <c r="G23" s="10">
        <f t="shared" si="5"/>
        <v>341.50672768253526</v>
      </c>
      <c r="H23" s="38">
        <f>G23/$G$25</f>
        <v>4.2137360132694382E-2</v>
      </c>
      <c r="I23" s="38">
        <f t="shared" si="6"/>
        <v>0.16854944053077753</v>
      </c>
    </row>
    <row r="24" spans="2:9" hidden="1">
      <c r="C24" s="42">
        <v>5</v>
      </c>
      <c r="D24" s="42">
        <f t="shared" si="3"/>
        <v>5</v>
      </c>
      <c r="E24" s="11">
        <f>$C$5*(1+$E$5)</f>
        <v>10500</v>
      </c>
      <c r="F24" s="23">
        <f>1/(1+$G$5/$F$5)^C24</f>
        <v>0.62092132305915493</v>
      </c>
      <c r="G24" s="11">
        <f t="shared" si="5"/>
        <v>6519.6738921211263</v>
      </c>
      <c r="H24" s="39">
        <f>G24/$G$25</f>
        <v>0.8044405116241653</v>
      </c>
      <c r="I24" s="39">
        <f t="shared" si="6"/>
        <v>4.0222025581208261</v>
      </c>
    </row>
    <row r="25" spans="2:9" hidden="1">
      <c r="F25" s="6" t="s">
        <v>16</v>
      </c>
      <c r="G25" s="13">
        <f>SUM(G20:G24)</f>
        <v>8104.6066152957728</v>
      </c>
      <c r="H25" s="6" t="s">
        <v>17</v>
      </c>
      <c r="I25" s="17">
        <f>SUM(I20:I24)</f>
        <v>4.4878625249472313</v>
      </c>
    </row>
    <row r="26" spans="2:9" hidden="1">
      <c r="H26" s="6" t="s">
        <v>18</v>
      </c>
      <c r="I26" s="24">
        <f>-I25/(1+G5/F5)</f>
        <v>-4.0798750226793006</v>
      </c>
    </row>
    <row r="27" spans="2:9" hidden="1">
      <c r="H27" s="6" t="s">
        <v>19</v>
      </c>
      <c r="I27" s="25">
        <f>I26*G25</f>
        <v>-33065.782098386648</v>
      </c>
    </row>
    <row r="28" spans="2:9" ht="11.25" customHeight="1"/>
  </sheetData>
  <mergeCells count="2">
    <mergeCell ref="C13:F13"/>
    <mergeCell ref="C14:G14"/>
  </mergeCells>
  <phoneticPr fontId="1" type="noConversion"/>
  <pageMargins left="0.7" right="0.7" top="0.75" bottom="0.75" header="0.3" footer="0.3"/>
  <pageSetup paperSize="9" scale="68" orientation="portrait" r:id="rId1"/>
  <colBreaks count="1" manualBreakCount="1">
    <brk id="10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3"/>
  <sheetViews>
    <sheetView showGridLines="0" view="pageBreakPreview" zoomScaleNormal="85" zoomScaleSheetLayoutView="100" workbookViewId="0">
      <selection activeCell="F10" sqref="F10"/>
    </sheetView>
  </sheetViews>
  <sheetFormatPr defaultRowHeight="14.25"/>
  <cols>
    <col min="1" max="1" width="0.625" style="1" customWidth="1"/>
    <col min="2" max="2" width="5.25" style="1" bestFit="1" customWidth="1"/>
    <col min="3" max="3" width="6.625" style="1" customWidth="1"/>
    <col min="4" max="4" width="8.875" style="1" customWidth="1"/>
    <col min="5" max="5" width="7.75" style="1" customWidth="1"/>
    <col min="6" max="6" width="8.5" style="1" customWidth="1"/>
    <col min="7" max="7" width="13.625" style="1" customWidth="1"/>
    <col min="8" max="8" width="7.25" style="1" customWidth="1"/>
    <col min="9" max="9" width="8.75" style="1" customWidth="1"/>
    <col min="10" max="10" width="16.25" style="1" customWidth="1"/>
    <col min="11" max="11" width="1.25" style="1" customWidth="1"/>
    <col min="12" max="12" width="9" style="1"/>
    <col min="13" max="14" width="10.5" style="1" bestFit="1" customWidth="1"/>
    <col min="15" max="16384" width="9" style="1"/>
  </cols>
  <sheetData>
    <row r="1" spans="1:11" ht="18.75">
      <c r="A1" s="58" t="s">
        <v>28</v>
      </c>
      <c r="B1" s="57"/>
      <c r="C1" s="56"/>
      <c r="D1" s="56"/>
      <c r="E1" s="56"/>
      <c r="F1" s="56"/>
      <c r="G1" s="56"/>
      <c r="H1" s="56"/>
      <c r="I1" s="56"/>
      <c r="J1" s="56"/>
      <c r="K1" s="56"/>
    </row>
    <row r="2" spans="1:11" ht="4.5" customHeight="1"/>
    <row r="3" spans="1:11">
      <c r="B3" s="16" t="s">
        <v>43</v>
      </c>
    </row>
    <row r="4" spans="1:11">
      <c r="G4" s="2" t="s">
        <v>20</v>
      </c>
      <c r="H4" s="26">
        <v>33065.782098386648</v>
      </c>
    </row>
    <row r="5" spans="1:11">
      <c r="C5" s="8" t="s">
        <v>21</v>
      </c>
      <c r="D5" s="8" t="s">
        <v>22</v>
      </c>
      <c r="E5" s="8" t="s">
        <v>23</v>
      </c>
      <c r="F5" s="8" t="s">
        <v>24</v>
      </c>
      <c r="G5" s="8" t="s">
        <v>25</v>
      </c>
      <c r="H5" s="8" t="s">
        <v>26</v>
      </c>
    </row>
    <row r="6" spans="1:11">
      <c r="C6" s="27">
        <v>0.01</v>
      </c>
      <c r="D6" s="27">
        <f t="shared" ref="D6:D12" si="0">C6-$C$9</f>
        <v>-9.0000000000000011E-2</v>
      </c>
      <c r="E6" s="28">
        <v>11941.372495730049</v>
      </c>
      <c r="F6" s="29">
        <f t="shared" ref="F6:F12" si="1">E6-$E$9</f>
        <v>3836.7658804342764</v>
      </c>
      <c r="G6" s="10">
        <f t="shared" ref="G6:G12" si="2">-$H$4*D6</f>
        <v>2975.9203888547986</v>
      </c>
      <c r="H6" s="29">
        <f t="shared" ref="H6:H12" si="3">F6-G6</f>
        <v>860.84549157947777</v>
      </c>
    </row>
    <row r="7" spans="1:11">
      <c r="C7" s="27">
        <v>0.04</v>
      </c>
      <c r="D7" s="27">
        <f t="shared" si="0"/>
        <v>-6.0000000000000005E-2</v>
      </c>
      <c r="E7" s="28">
        <v>10445.182233101617</v>
      </c>
      <c r="F7" s="29">
        <f t="shared" si="1"/>
        <v>2340.5756178058446</v>
      </c>
      <c r="G7" s="10">
        <f t="shared" si="2"/>
        <v>1983.9469259031989</v>
      </c>
      <c r="H7" s="29">
        <f t="shared" si="3"/>
        <v>356.62869190264564</v>
      </c>
    </row>
    <row r="8" spans="1:11">
      <c r="C8" s="27">
        <v>7.0000000000000007E-2</v>
      </c>
      <c r="D8" s="27">
        <f t="shared" si="0"/>
        <v>-0.03</v>
      </c>
      <c r="E8" s="28">
        <v>9179.9605128104813</v>
      </c>
      <c r="F8" s="29">
        <f t="shared" si="1"/>
        <v>1075.3538975147085</v>
      </c>
      <c r="G8" s="10">
        <f t="shared" si="2"/>
        <v>991.97346295159934</v>
      </c>
      <c r="H8" s="29">
        <f t="shared" si="3"/>
        <v>83.380434563109134</v>
      </c>
    </row>
    <row r="9" spans="1:11">
      <c r="C9" s="30">
        <v>0.1</v>
      </c>
      <c r="D9" s="30">
        <f t="shared" si="0"/>
        <v>0</v>
      </c>
      <c r="E9" s="31">
        <v>8104.6066152957728</v>
      </c>
      <c r="F9" s="32">
        <f t="shared" si="1"/>
        <v>0</v>
      </c>
      <c r="G9" s="33">
        <f t="shared" si="2"/>
        <v>0</v>
      </c>
      <c r="H9" s="32">
        <f t="shared" si="3"/>
        <v>0</v>
      </c>
    </row>
    <row r="10" spans="1:11">
      <c r="C10" s="27">
        <v>0.13</v>
      </c>
      <c r="D10" s="27">
        <f t="shared" si="0"/>
        <v>0.03</v>
      </c>
      <c r="E10" s="28">
        <v>7186.2149907658395</v>
      </c>
      <c r="F10" s="29">
        <f t="shared" si="1"/>
        <v>-918.39162452993332</v>
      </c>
      <c r="G10" s="10">
        <f t="shared" si="2"/>
        <v>-991.97346295159934</v>
      </c>
      <c r="H10" s="29">
        <f t="shared" si="3"/>
        <v>73.581838421666021</v>
      </c>
    </row>
    <row r="11" spans="1:11">
      <c r="C11" s="27">
        <v>0.16</v>
      </c>
      <c r="D11" s="27">
        <f t="shared" si="0"/>
        <v>0.06</v>
      </c>
      <c r="E11" s="28">
        <v>6398.2769809726415</v>
      </c>
      <c r="F11" s="29">
        <f t="shared" si="1"/>
        <v>-1706.3296343231314</v>
      </c>
      <c r="G11" s="10">
        <f t="shared" si="2"/>
        <v>-1983.9469259031987</v>
      </c>
      <c r="H11" s="29">
        <f t="shared" si="3"/>
        <v>277.61729158006733</v>
      </c>
    </row>
    <row r="12" spans="1:11">
      <c r="C12" s="34">
        <v>0.19</v>
      </c>
      <c r="D12" s="34">
        <f t="shared" si="0"/>
        <v>0.09</v>
      </c>
      <c r="E12" s="35">
        <v>5719.3111542284696</v>
      </c>
      <c r="F12" s="36">
        <f t="shared" si="1"/>
        <v>-2385.2954610673032</v>
      </c>
      <c r="G12" s="11">
        <f t="shared" si="2"/>
        <v>-2975.9203888547981</v>
      </c>
      <c r="H12" s="36">
        <f t="shared" si="3"/>
        <v>590.62492778749493</v>
      </c>
    </row>
    <row r="13" spans="1:11" ht="33.75" customHeight="1"/>
    <row r="14" spans="1:11">
      <c r="B14" s="16" t="s">
        <v>42</v>
      </c>
    </row>
    <row r="15" spans="1:11">
      <c r="B15" s="2" t="s">
        <v>11</v>
      </c>
      <c r="C15" s="6" t="s">
        <v>1</v>
      </c>
      <c r="D15" s="6" t="s">
        <v>2</v>
      </c>
      <c r="E15" s="6" t="s">
        <v>3</v>
      </c>
      <c r="F15" s="6" t="s">
        <v>4</v>
      </c>
      <c r="G15" s="6" t="s">
        <v>5</v>
      </c>
    </row>
    <row r="16" spans="1:11">
      <c r="B16" s="2"/>
      <c r="C16" s="18">
        <v>10000</v>
      </c>
      <c r="D16" s="4">
        <v>3</v>
      </c>
      <c r="E16" s="5">
        <v>0.08</v>
      </c>
      <c r="F16" s="4">
        <v>1</v>
      </c>
      <c r="G16" s="5">
        <v>0.1</v>
      </c>
    </row>
    <row r="17" spans="2:14" ht="3.75" customHeight="1">
      <c r="B17" s="2"/>
    </row>
    <row r="18" spans="2:14" ht="17.25">
      <c r="B18" s="2" t="s">
        <v>0</v>
      </c>
      <c r="C18" s="6" t="s">
        <v>27</v>
      </c>
      <c r="D18" s="49" t="s">
        <v>36</v>
      </c>
      <c r="E18" s="49" t="s">
        <v>37</v>
      </c>
      <c r="F18" s="6" t="s">
        <v>7</v>
      </c>
      <c r="G18" s="6" t="s">
        <v>8</v>
      </c>
      <c r="H18" s="6" t="s">
        <v>9</v>
      </c>
      <c r="I18" s="49" t="s">
        <v>12</v>
      </c>
      <c r="J18" s="49" t="s">
        <v>35</v>
      </c>
    </row>
    <row r="19" spans="2:14">
      <c r="C19" s="40">
        <v>1</v>
      </c>
      <c r="D19" s="40">
        <f>C19/$F$16</f>
        <v>1</v>
      </c>
      <c r="E19" s="40">
        <f>(C19+1)/$F$16</f>
        <v>2</v>
      </c>
      <c r="F19" s="9">
        <f>$C$16*$E$16</f>
        <v>800</v>
      </c>
      <c r="G19" s="21">
        <f>1/(1+$G$16/$F$16)^C19</f>
        <v>0.90909090909090906</v>
      </c>
      <c r="H19" s="9">
        <f>F19*G19</f>
        <v>727.27272727272725</v>
      </c>
      <c r="I19" s="44">
        <f>D19*H19</f>
        <v>727.27272727272725</v>
      </c>
      <c r="J19" s="47">
        <f>D19*E19*H19</f>
        <v>1454.5454545454545</v>
      </c>
    </row>
    <row r="20" spans="2:14">
      <c r="C20" s="41">
        <v>2</v>
      </c>
      <c r="D20" s="41">
        <f t="shared" ref="D20:D21" si="4">C20/$F$16</f>
        <v>2</v>
      </c>
      <c r="E20" s="41">
        <f t="shared" ref="E20:E21" si="5">(C20+1)/$F$16</f>
        <v>3</v>
      </c>
      <c r="F20" s="10">
        <f>$C$16*$E$16</f>
        <v>800</v>
      </c>
      <c r="G20" s="22">
        <f>1/(1+$G$16/$F$16)^C20</f>
        <v>0.82644628099173545</v>
      </c>
      <c r="H20" s="10">
        <f t="shared" ref="H20:H21" si="6">F20*G20</f>
        <v>661.15702479338836</v>
      </c>
      <c r="I20" s="45">
        <f t="shared" ref="I20:I21" si="7">D20*H20</f>
        <v>1322.3140495867767</v>
      </c>
      <c r="J20" s="28">
        <f t="shared" ref="J20:J21" si="8">D20*E20*H20</f>
        <v>3966.9421487603304</v>
      </c>
    </row>
    <row r="21" spans="2:14">
      <c r="C21" s="42">
        <v>3</v>
      </c>
      <c r="D21" s="42">
        <f t="shared" si="4"/>
        <v>3</v>
      </c>
      <c r="E21" s="42">
        <f t="shared" si="5"/>
        <v>4</v>
      </c>
      <c r="F21" s="11">
        <f>$C$16*(1+$E$16)</f>
        <v>10800</v>
      </c>
      <c r="G21" s="23">
        <f>1/(1+$G$16/$F$16)^C21</f>
        <v>0.75131480090157754</v>
      </c>
      <c r="H21" s="11">
        <f t="shared" si="6"/>
        <v>8114.1998497370378</v>
      </c>
      <c r="I21" s="46">
        <f t="shared" si="7"/>
        <v>24342.599549211114</v>
      </c>
      <c r="J21" s="35">
        <f t="shared" si="8"/>
        <v>97370.398196844457</v>
      </c>
    </row>
    <row r="22" spans="2:14" ht="16.5" customHeight="1">
      <c r="C22" s="68" t="s">
        <v>6</v>
      </c>
      <c r="D22" s="68"/>
      <c r="E22" s="68"/>
      <c r="F22" s="68"/>
      <c r="G22" s="68"/>
      <c r="H22" s="13">
        <f>SUM(H19:H21)</f>
        <v>9502.6296018031535</v>
      </c>
      <c r="I22" s="48">
        <f>SUM(I19:I21)</f>
        <v>26392.18632607062</v>
      </c>
      <c r="J22" s="43">
        <f>SUM(J19:J21)</f>
        <v>102791.88580015024</v>
      </c>
    </row>
    <row r="23" spans="2:14" ht="16.5" customHeight="1">
      <c r="C23" s="68" t="s">
        <v>30</v>
      </c>
      <c r="D23" s="68"/>
      <c r="E23" s="68"/>
      <c r="F23" s="68"/>
      <c r="G23" s="68"/>
      <c r="H23" s="68"/>
      <c r="I23" s="68"/>
      <c r="J23" s="50">
        <f>J22/(1+G16/F16)^2/H22</f>
        <v>8.9398382653514599</v>
      </c>
    </row>
    <row r="24" spans="2:14" ht="3.75" customHeight="1"/>
    <row r="25" spans="2:14">
      <c r="C25" s="49" t="s">
        <v>16</v>
      </c>
      <c r="D25" s="49" t="s">
        <v>17</v>
      </c>
      <c r="E25" s="49" t="s">
        <v>18</v>
      </c>
      <c r="F25" s="49" t="s">
        <v>29</v>
      </c>
      <c r="G25" s="49" t="s">
        <v>28</v>
      </c>
    </row>
    <row r="26" spans="2:14">
      <c r="C26" s="14">
        <f>H22</f>
        <v>9502.6296018031535</v>
      </c>
      <c r="D26" s="19">
        <f>I22/C26</f>
        <v>2.7773561037318153</v>
      </c>
      <c r="E26" s="52">
        <f>-D26/(1+G16/F16)</f>
        <v>-2.5248691852107408</v>
      </c>
      <c r="F26" s="14">
        <f>E26*C26</f>
        <v>-23992.896660064194</v>
      </c>
      <c r="G26" s="51">
        <f>J22/(1+G16/F16)^2/H22</f>
        <v>8.9398382653514599</v>
      </c>
    </row>
    <row r="27" spans="2:14" ht="3.75" customHeight="1"/>
    <row r="28" spans="2:14">
      <c r="C28" s="69" t="s">
        <v>41</v>
      </c>
      <c r="D28" s="70" t="s">
        <v>32</v>
      </c>
      <c r="E28" s="70"/>
      <c r="F28" s="70"/>
    </row>
    <row r="29" spans="2:14">
      <c r="C29" s="70"/>
      <c r="D29" s="8" t="s">
        <v>38</v>
      </c>
      <c r="E29" s="8" t="s">
        <v>39</v>
      </c>
      <c r="F29" s="8" t="s">
        <v>40</v>
      </c>
      <c r="M29" s="60"/>
    </row>
    <row r="30" spans="2:14">
      <c r="C30" s="54">
        <v>1</v>
      </c>
      <c r="D30" s="52">
        <f>$C$26*$E$26*C30/100</f>
        <v>-239.92896660064196</v>
      </c>
      <c r="E30" s="55">
        <f>$C$26*$G$26*(C30/100)^2</f>
        <v>8.4951971735661349</v>
      </c>
      <c r="F30" s="55">
        <f>D30+E30/2</f>
        <v>-235.6813680138589</v>
      </c>
    </row>
    <row r="31" spans="2:14">
      <c r="C31" s="54">
        <v>-1</v>
      </c>
      <c r="D31" s="52">
        <f>$C$26*$E$26*C31/100</f>
        <v>239.92896660064196</v>
      </c>
      <c r="E31" s="55">
        <f>$C$26*$G$26*(C31/100)^2</f>
        <v>8.4951971735661349</v>
      </c>
      <c r="F31" s="55">
        <f>D31+E31/2</f>
        <v>244.17656518742501</v>
      </c>
    </row>
    <row r="32" spans="2:14">
      <c r="C32" s="54"/>
      <c r="D32" s="52">
        <f>$C$26*$E$26*C32/100</f>
        <v>0</v>
      </c>
      <c r="E32" s="55">
        <f>$C$26*$G$26*(C32/100)^2</f>
        <v>0</v>
      </c>
      <c r="F32" s="55">
        <f>D32+E32/2</f>
        <v>0</v>
      </c>
      <c r="M32" s="59"/>
      <c r="N32" s="59"/>
    </row>
    <row r="33" spans="13:13">
      <c r="M33" s="59"/>
    </row>
  </sheetData>
  <mergeCells count="4">
    <mergeCell ref="C22:G22"/>
    <mergeCell ref="C23:I23"/>
    <mergeCell ref="C28:C29"/>
    <mergeCell ref="D28:F28"/>
  </mergeCells>
  <phoneticPr fontId="1" type="noConversion"/>
  <pageMargins left="0.7" right="0.7" top="0.75" bottom="0.75" header="0.3" footer="0.3"/>
  <pageSetup paperSize="9" scale="87" orientation="portrait" r:id="rId1"/>
  <colBreaks count="1" manualBreakCount="1">
    <brk id="11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"/>
  <sheetViews>
    <sheetView showGridLines="0" view="pageBreakPreview" zoomScaleSheetLayoutView="100" workbookViewId="0">
      <selection activeCell="A4" sqref="A4"/>
    </sheetView>
  </sheetViews>
  <sheetFormatPr defaultRowHeight="14.25"/>
  <cols>
    <col min="1" max="1" width="0.625" style="1" customWidth="1"/>
    <col min="2" max="4" width="9.875" style="1" customWidth="1"/>
    <col min="5" max="6" width="11.5" style="1" customWidth="1"/>
    <col min="7" max="7" width="1.875" style="1" customWidth="1"/>
    <col min="8" max="16384" width="9" style="1"/>
  </cols>
  <sheetData>
    <row r="1" spans="1:7" ht="18.75">
      <c r="A1" s="58" t="s">
        <v>51</v>
      </c>
      <c r="B1" s="56"/>
      <c r="C1" s="56"/>
      <c r="D1" s="56"/>
      <c r="E1" s="56"/>
      <c r="F1" s="56"/>
      <c r="G1" s="56"/>
    </row>
    <row r="2" spans="1:7" ht="3.75" customHeight="1"/>
    <row r="3" spans="1:7">
      <c r="A3" s="16" t="s">
        <v>52</v>
      </c>
    </row>
    <row r="4" spans="1:7" ht="15">
      <c r="B4" s="71" t="s">
        <v>47</v>
      </c>
      <c r="C4" s="71"/>
      <c r="D4" s="71"/>
      <c r="E4" s="71"/>
      <c r="F4" s="71"/>
    </row>
    <row r="5" spans="1:7">
      <c r="B5" s="61" t="s">
        <v>48</v>
      </c>
      <c r="C5" s="62" t="s">
        <v>49</v>
      </c>
      <c r="D5" s="62" t="s">
        <v>50</v>
      </c>
      <c r="E5" s="62" t="s">
        <v>46</v>
      </c>
      <c r="F5" s="63" t="s">
        <v>45</v>
      </c>
    </row>
    <row r="6" spans="1:7" ht="18" customHeight="1">
      <c r="B6" s="64">
        <v>0.5</v>
      </c>
      <c r="C6" s="64">
        <v>94.9</v>
      </c>
      <c r="D6" s="4">
        <v>0</v>
      </c>
      <c r="E6" s="65">
        <f>C6/100</f>
        <v>0.94900000000000007</v>
      </c>
      <c r="F6" s="67">
        <f>-LN(E6)/B6</f>
        <v>0.10469296074441824</v>
      </c>
    </row>
    <row r="7" spans="1:7" ht="18" customHeight="1">
      <c r="B7" s="64">
        <v>1</v>
      </c>
      <c r="C7" s="64">
        <v>90</v>
      </c>
      <c r="D7" s="4">
        <v>0</v>
      </c>
      <c r="E7" s="65">
        <f>C7/100</f>
        <v>0.9</v>
      </c>
      <c r="F7" s="67">
        <f>-LN(E7)/B7</f>
        <v>0.10536051565782628</v>
      </c>
    </row>
    <row r="8" spans="1:7" ht="18" customHeight="1">
      <c r="B8" s="64">
        <v>1.5</v>
      </c>
      <c r="C8" s="64">
        <v>96</v>
      </c>
      <c r="D8" s="4">
        <v>8</v>
      </c>
      <c r="E8" s="65">
        <f xml:space="preserve"> (C8 - ((D8/2)*E6 + (D8/2)*E7))/(100+D8/2)</f>
        <v>0.85196153846153844</v>
      </c>
      <c r="F8" s="67">
        <f>-LN(E8)/B8</f>
        <v>0.10680926388170529</v>
      </c>
    </row>
    <row r="9" spans="1:7" ht="18" customHeight="1">
      <c r="B9" s="64">
        <v>2</v>
      </c>
      <c r="C9" s="64">
        <v>101.6</v>
      </c>
      <c r="D9" s="4">
        <v>12</v>
      </c>
      <c r="E9" s="66">
        <f>(C9 - ((D9/2)*E6 + (D9/2)*E7 + (D9/2)*E8))/(100 + D9/2)</f>
        <v>0.80560595065312035</v>
      </c>
      <c r="F9" s="67">
        <f>-LN(E9)/B9</f>
        <v>0.10808027549746793</v>
      </c>
    </row>
  </sheetData>
  <mergeCells count="1">
    <mergeCell ref="B4:F4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Duration</vt:lpstr>
      <vt:lpstr>Convexity</vt:lpstr>
      <vt:lpstr>Bootstrap</vt:lpstr>
      <vt:lpstr>Bootstrap!Print_Area</vt:lpstr>
      <vt:lpstr>Convexity!Print_Area</vt:lpstr>
      <vt:lpstr>Duration!Print_Area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uyser</dc:creator>
  <cp:lastModifiedBy>LG</cp:lastModifiedBy>
  <dcterms:created xsi:type="dcterms:W3CDTF">2018-04-08T11:30:03Z</dcterms:created>
  <dcterms:modified xsi:type="dcterms:W3CDTF">2018-04-11T03:30:42Z</dcterms:modified>
</cp:coreProperties>
</file>