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MyFiles\Dons\Active Files\Misc. Calcs\AAA-Help\AA Files for Pistulka.com\Shared Files\"/>
    </mc:Choice>
  </mc:AlternateContent>
  <bookViews>
    <workbookView xWindow="0" yWindow="0" windowWidth="15345" windowHeight="6825"/>
  </bookViews>
  <sheets>
    <sheet name="Effective Duration" sheetId="1" r:id="rId1"/>
  </sheets>
  <definedNames>
    <definedName name="Days">'Effective Duration'!$H$7</definedName>
    <definedName name="Months">'Effective Duration'!$H$4</definedName>
    <definedName name="Rate">'Effective Duration'!$H$5</definedName>
    <definedName name="Servicing">'Effective Duration'!$H$6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H14" i="1" s="1"/>
  <c r="H15" i="1" s="1"/>
  <c r="I12" i="1"/>
  <c r="G12" i="1"/>
  <c r="G14" i="1" l="1"/>
  <c r="G15" i="1" s="1"/>
  <c r="G16" i="1" s="1"/>
  <c r="I14" i="1"/>
  <c r="I15" i="1" s="1"/>
  <c r="I16" i="1" s="1"/>
  <c r="H16" i="1"/>
  <c r="H20" i="1" l="1"/>
  <c r="H21" i="1" s="1"/>
  <c r="L20" i="1" s="1"/>
  <c r="M20" i="1" s="1"/>
  <c r="H19" i="1"/>
  <c r="L19" i="1" s="1"/>
  <c r="M19" i="1" l="1"/>
  <c r="M21" i="1" s="1"/>
  <c r="L21" i="1"/>
</calcChain>
</file>

<file path=xl/sharedStrings.xml><?xml version="1.0" encoding="utf-8"?>
<sst xmlns="http://schemas.openxmlformats.org/spreadsheetml/2006/main" count="26" uniqueCount="26">
  <si>
    <t>Par Value</t>
  </si>
  <si>
    <t>Base</t>
  </si>
  <si>
    <t>Months</t>
  </si>
  <si>
    <t>Years</t>
  </si>
  <si>
    <t>Remaining Term</t>
  </si>
  <si>
    <t>Rate</t>
  </si>
  <si>
    <t>Servicing</t>
  </si>
  <si>
    <t>Payment Days Delayed</t>
  </si>
  <si>
    <t>CPR</t>
  </si>
  <si>
    <t>(30 by default)</t>
  </si>
  <si>
    <t>YIELD CHANGE</t>
  </si>
  <si>
    <t>YIELDS</t>
  </si>
  <si>
    <t>$PRICE</t>
  </si>
  <si>
    <t>MARKET VALUE</t>
  </si>
  <si>
    <t xml:space="preserve"> % CHANGE</t>
  </si>
  <si>
    <t>Effective Duration</t>
  </si>
  <si>
    <t>Convexity</t>
  </si>
  <si>
    <t>Convexity Adjustment</t>
  </si>
  <si>
    <t>No VBA or Amortization Schedules</t>
  </si>
  <si>
    <t>Change in Yield</t>
  </si>
  <si>
    <t>+1%</t>
  </si>
  <si>
    <t>% Change due to duration</t>
  </si>
  <si>
    <t>% Change due to convexity</t>
  </si>
  <si>
    <t>Estimated % in price change</t>
  </si>
  <si>
    <t>Yellow cells are input cells</t>
  </si>
  <si>
    <t>Effective Duration &amp; Convexity on a Fixed Rate Mortgage 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</si>
</sst>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%"/>
    <numFmt numFmtId="165" formatCode="0.000"/>
    <numFmt numFmtId="166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3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44" fontId="0" fillId="2" borderId="1" xfId="3" applyNumberFormat="1" applyFont="1"/>
    <xf numFmtId="9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5" fontId="3" fillId="3" borderId="2" xfId="0" quotePrefix="1" applyNumberFormat="1" applyFont="1" applyFill="1" applyBorder="1" applyAlignment="1">
      <alignment horizontal="center" vertical="center"/>
    </xf>
    <xf numFmtId="44" fontId="0" fillId="3" borderId="2" xfId="0" applyNumberFormat="1" applyFill="1" applyBorder="1" applyAlignment="1">
      <alignment horizontal="center"/>
    </xf>
    <xf numFmtId="0" fontId="0" fillId="0" borderId="0" xfId="0" applyAlignment="1">
      <alignment horizontal="right"/>
    </xf>
    <xf numFmtId="0" fontId="0" fillId="2" borderId="1" xfId="3" applyFont="1" applyAlignment="1">
      <alignment horizontal="center"/>
    </xf>
    <xf numFmtId="2" fontId="3" fillId="4" borderId="2" xfId="4" applyNumberFormat="1" applyFont="1" applyFill="1" applyBorder="1" applyAlignment="1" applyProtection="1">
      <alignment horizontal="center"/>
    </xf>
    <xf numFmtId="166" fontId="0" fillId="2" borderId="1" xfId="3" applyNumberFormat="1" applyFont="1" applyAlignment="1">
      <alignment horizontal="center"/>
    </xf>
    <xf numFmtId="166" fontId="0" fillId="2" borderId="1" xfId="2" applyNumberFormat="1" applyFont="1" applyFill="1" applyBorder="1" applyAlignment="1">
      <alignment horizontal="center"/>
    </xf>
    <xf numFmtId="164" fontId="0" fillId="3" borderId="2" xfId="2" applyNumberFormat="1" applyFon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0" fontId="0" fillId="2" borderId="2" xfId="3" applyNumberFormat="1" applyFont="1" applyBorder="1" applyAlignment="1">
      <alignment horizontal="center"/>
    </xf>
    <xf numFmtId="0" fontId="0" fillId="2" borderId="2" xfId="3" applyFont="1" applyBorder="1" applyAlignment="1">
      <alignment horizontal="center" vertical="center"/>
    </xf>
    <xf numFmtId="166" fontId="2" fillId="5" borderId="2" xfId="2" quotePrefix="1" applyNumberFormat="1" applyFont="1" applyFill="1" applyBorder="1" applyAlignment="1">
      <alignment horizontal="center"/>
    </xf>
    <xf numFmtId="165" fontId="2" fillId="5" borderId="2" xfId="1" quotePrefix="1" applyNumberFormat="1" applyFont="1" applyFill="1" applyBorder="1" applyAlignment="1">
      <alignment horizontal="center"/>
    </xf>
    <xf numFmtId="0" fontId="4" fillId="0" borderId="0" xfId="0" applyFont="1"/>
    <xf numFmtId="0" fontId="0" fillId="6" borderId="3" xfId="0" applyFill="1" applyBorder="1" applyAlignment="1">
      <alignment horizontal="left"/>
    </xf>
    <xf numFmtId="9" fontId="0" fillId="3" borderId="3" xfId="0" applyNumberFormat="1" applyFill="1" applyBorder="1" applyAlignment="1">
      <alignment horizontal="center"/>
    </xf>
    <xf numFmtId="0" fontId="0" fillId="3" borderId="4" xfId="0" quotePrefix="1" applyFill="1" applyBorder="1" applyAlignment="1">
      <alignment horizontal="center"/>
    </xf>
    <xf numFmtId="0" fontId="0" fillId="7" borderId="5" xfId="0" applyFill="1" applyBorder="1" applyAlignment="1">
      <alignment horizontal="right"/>
    </xf>
    <xf numFmtId="166" fontId="0" fillId="7" borderId="6" xfId="0" applyNumberFormat="1" applyFill="1" applyBorder="1"/>
    <xf numFmtId="166" fontId="0" fillId="7" borderId="7" xfId="2" applyNumberFormat="1" applyFont="1" applyFill="1" applyBorder="1" applyAlignment="1">
      <alignment horizontal="center"/>
    </xf>
    <xf numFmtId="0" fontId="0" fillId="7" borderId="8" xfId="0" applyFill="1" applyBorder="1" applyAlignment="1">
      <alignment horizontal="right"/>
    </xf>
    <xf numFmtId="166" fontId="6" fillId="7" borderId="0" xfId="0" applyNumberFormat="1" applyFont="1" applyFill="1" applyBorder="1"/>
    <xf numFmtId="166" fontId="6" fillId="7" borderId="9" xfId="0" applyNumberFormat="1" applyFont="1" applyFill="1" applyBorder="1"/>
    <xf numFmtId="0" fontId="0" fillId="7" borderId="10" xfId="0" applyFill="1" applyBorder="1" applyAlignment="1">
      <alignment horizontal="right"/>
    </xf>
    <xf numFmtId="164" fontId="0" fillId="7" borderId="11" xfId="0" applyNumberFormat="1" applyFill="1" applyBorder="1"/>
    <xf numFmtId="164" fontId="0" fillId="7" borderId="12" xfId="0" applyNumberFormat="1" applyFill="1" applyBorder="1" applyAlignment="1">
      <alignment horizontal="center"/>
    </xf>
    <xf numFmtId="0" fontId="0" fillId="2" borderId="2" xfId="3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5">
    <cellStyle name="Comma" xfId="1" builtinId="3"/>
    <cellStyle name="Normal" xfId="0" builtinId="0"/>
    <cellStyle name="Normal 2" xfId="4"/>
    <cellStyle name="Note" xfId="3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D1:M21"/>
  <sheetViews>
    <sheetView showGridLines="0" tabSelected="1" zoomScaleNormal="100" workbookViewId="0">
      <selection activeCell="D2" sqref="D2"/>
    </sheetView>
  </sheetViews>
  <sheetFormatPr defaultRowHeight="15" x14ac:dyDescent="0.25"/>
  <cols>
    <col min="5" max="5" width="7.42578125" customWidth="1"/>
    <col min="6" max="6" width="3.42578125" customWidth="1"/>
    <col min="7" max="7" width="14.85546875" customWidth="1"/>
    <col min="8" max="8" width="14.5703125" customWidth="1"/>
    <col min="9" max="9" width="17.42578125" customWidth="1"/>
    <col min="11" max="11" width="26.85546875" customWidth="1"/>
    <col min="13" max="13" width="10.5703125" customWidth="1"/>
    <col min="18" max="18" width="11.28515625" customWidth="1"/>
  </cols>
  <sheetData>
    <row r="1" spans="4:11" ht="23.25" x14ac:dyDescent="0.35">
      <c r="D1" s="18" t="s">
        <v>25</v>
      </c>
      <c r="E1" s="18"/>
      <c r="F1" s="18"/>
      <c r="G1" s="18"/>
    </row>
    <row r="2" spans="4:11" x14ac:dyDescent="0.25">
      <c r="G2" s="32" t="s">
        <v>18</v>
      </c>
      <c r="H2" s="32"/>
      <c r="I2" s="32"/>
    </row>
    <row r="3" spans="4:11" x14ac:dyDescent="0.25">
      <c r="H3" s="1" t="s">
        <v>2</v>
      </c>
      <c r="I3" s="1" t="s">
        <v>3</v>
      </c>
    </row>
    <row r="4" spans="4:11" x14ac:dyDescent="0.25">
      <c r="G4" s="7" t="s">
        <v>4</v>
      </c>
      <c r="H4" s="8">
        <v>331</v>
      </c>
      <c r="I4" s="9">
        <f>+Months/12</f>
        <v>27.583333333333332</v>
      </c>
    </row>
    <row r="5" spans="4:11" x14ac:dyDescent="0.25">
      <c r="G5" s="7" t="s">
        <v>5</v>
      </c>
      <c r="H5" s="10">
        <v>0.05</v>
      </c>
    </row>
    <row r="6" spans="4:11" x14ac:dyDescent="0.25">
      <c r="G6" t="s">
        <v>6</v>
      </c>
      <c r="H6" s="11">
        <v>0</v>
      </c>
    </row>
    <row r="7" spans="4:11" x14ac:dyDescent="0.25">
      <c r="G7" s="7" t="s">
        <v>7</v>
      </c>
      <c r="H7" s="8">
        <v>30</v>
      </c>
      <c r="I7" s="1" t="s">
        <v>9</v>
      </c>
    </row>
    <row r="8" spans="4:11" x14ac:dyDescent="0.25">
      <c r="G8" s="1" t="s">
        <v>0</v>
      </c>
      <c r="H8" s="2">
        <v>5000000</v>
      </c>
      <c r="K8" s="31" t="s">
        <v>24</v>
      </c>
    </row>
    <row r="11" spans="4:11" x14ac:dyDescent="0.25">
      <c r="F11" s="7" t="s">
        <v>10</v>
      </c>
      <c r="G11" s="3">
        <v>-0.01</v>
      </c>
      <c r="H11" s="4" t="s">
        <v>1</v>
      </c>
      <c r="I11" s="3">
        <v>0.01</v>
      </c>
    </row>
    <row r="12" spans="4:11" x14ac:dyDescent="0.25">
      <c r="F12" s="7" t="s">
        <v>11</v>
      </c>
      <c r="G12" s="13">
        <f>$H$12+G11</f>
        <v>0.04</v>
      </c>
      <c r="H12" s="14">
        <v>0.05</v>
      </c>
      <c r="I12" s="13">
        <f>$H$12+I11</f>
        <v>6.0000000000000005E-2</v>
      </c>
    </row>
    <row r="13" spans="4:11" x14ac:dyDescent="0.25">
      <c r="F13" s="7" t="s">
        <v>8</v>
      </c>
      <c r="G13" s="15">
        <v>20</v>
      </c>
      <c r="H13" s="15">
        <v>10</v>
      </c>
      <c r="I13" s="15">
        <v>5</v>
      </c>
    </row>
    <row r="14" spans="4:11" x14ac:dyDescent="0.25">
      <c r="F14" s="7" t="s">
        <v>12</v>
      </c>
      <c r="G14" s="5">
        <f>(100*(((1+Rate/12)^($I$4*12)*((1-(1-G$13/100)^(1/12))+Rate/12-Servicing/12)*(1-((1-(1-(1-G$13/100)^(1/12)))/(1+G$12/12))^($I$4*12))/(G$12/12+(1-(1-G$13/100)^(1/12)))+(Servicing/12-(1-(1-G$13/100)^(1/12))*(1+Rate/12))*(1-(((1-(1-(1-G$13/100)^(1/12)))*(1+Rate/12))/(1+G$12/12))^(($I$4*12)))/(G$12/12+(1-(1-G$13/100)^(1/12))+(1-(1-G$13/100)^(1/12))*Rate/12-Rate/12))/((1+Rate/12)^($I$4*12)-1))*(1+G$12/12)/(1+Days/30*G$12/12))</f>
        <v>103.53151897417838</v>
      </c>
      <c r="H14" s="5">
        <f>(100*(((1+Rate/12)^($I$4*12)*((1-(1-H$13/100)^(1/12))+Rate/12-Servicing/12)*(1-((1-(1-(1-H$13/100)^(1/12)))/(1+H$12/12))^($I$4*12))/(H$12/12+(1-(1-H$13/100)^(1/12)))+(Servicing/12-(1-(1-H$13/100)^(1/12))*(1+Rate/12))*(1-(((1-(1-(1-H$13/100)^(1/12)))*(1+Rate/12))/(1+H$12/12))^(($I$4*12)))/(H$12/12+(1-(1-H$13/100)^(1/12))+(1-(1-H$13/100)^(1/12))*Rate/12-Rate/12))/((1+Rate/12)^($I$4*12)-1))*(1+H$12/12)/(1+Days/30*H$12/12))</f>
        <v>99.999999999999972</v>
      </c>
      <c r="I14" s="5">
        <f>(100*(((1+Rate/12)^($I$4*12)*((1-(1-I$13/100)^(1/12))+Rate/12-Servicing/12)*(1-((1-(1-(1-I$13/100)^(1/12)))/(1+I$12/12))^($I$4*12))/(I$12/12+(1-(1-I$13/100)^(1/12)))+(Servicing/12-(1-(1-I$13/100)^(1/12))*(1+Rate/12))*(1-(((1-(1-(1-I$13/100)^(1/12)))*(1+Rate/12))/(1+I$12/12))^(($I$4*12)))/(I$12/12+(1-(1-I$13/100)^(1/12))+(1-(1-I$13/100)^(1/12))*Rate/12-Rate/12))/((1+Rate/12)^($I$4*12)-1))*(1+I$12/12)/(1+Days/30*I$12/12))</f>
        <v>93.01477184603047</v>
      </c>
    </row>
    <row r="15" spans="4:11" x14ac:dyDescent="0.25">
      <c r="F15" s="7" t="s">
        <v>13</v>
      </c>
      <c r="G15" s="6">
        <f>G14/100*$H$8</f>
        <v>5176575.9487089189</v>
      </c>
      <c r="H15" s="6">
        <f>H14/100*$H$8</f>
        <v>4999999.9999999981</v>
      </c>
      <c r="I15" s="6">
        <f>I14/100*$H$8</f>
        <v>4650738.5923015233</v>
      </c>
    </row>
    <row r="16" spans="4:11" x14ac:dyDescent="0.25">
      <c r="F16" s="7" t="s">
        <v>14</v>
      </c>
      <c r="G16" s="12">
        <f>+G15/$H$15-1</f>
        <v>3.531518974178427E-2</v>
      </c>
      <c r="H16" s="12">
        <f>+$H$15-H15</f>
        <v>0</v>
      </c>
      <c r="I16" s="12">
        <f>+I15/H15-1</f>
        <v>-6.9852281539695027E-2</v>
      </c>
    </row>
    <row r="17" spans="7:13" ht="15.75" thickBot="1" x14ac:dyDescent="0.3"/>
    <row r="18" spans="7:13" ht="15.75" thickBot="1" x14ac:dyDescent="0.3">
      <c r="K18" s="19" t="s">
        <v>19</v>
      </c>
      <c r="L18" s="20">
        <v>-0.01</v>
      </c>
      <c r="M18" s="21" t="s">
        <v>20</v>
      </c>
    </row>
    <row r="19" spans="7:13" x14ac:dyDescent="0.25">
      <c r="G19" s="7" t="s">
        <v>15</v>
      </c>
      <c r="H19" s="16">
        <f>(G16-I16)/2</f>
        <v>5.2583735640739648E-2</v>
      </c>
      <c r="K19" s="22" t="s">
        <v>21</v>
      </c>
      <c r="L19" s="23">
        <f>+H19</f>
        <v>5.2583735640739648E-2</v>
      </c>
      <c r="M19" s="24">
        <f>-L19</f>
        <v>-5.2583735640739648E-2</v>
      </c>
    </row>
    <row r="20" spans="7:13" x14ac:dyDescent="0.25">
      <c r="G20" s="7" t="s">
        <v>16</v>
      </c>
      <c r="H20" s="17">
        <f>(G16+I16)*100</f>
        <v>-3.4537091797910757</v>
      </c>
      <c r="K20" s="25" t="s">
        <v>22</v>
      </c>
      <c r="L20" s="26">
        <f>H21</f>
        <v>-1.7268545898955379E-2</v>
      </c>
      <c r="M20" s="27">
        <f>+L20</f>
        <v>-1.7268545898955379E-2</v>
      </c>
    </row>
    <row r="21" spans="7:13" ht="15.75" thickBot="1" x14ac:dyDescent="0.3">
      <c r="G21" s="7" t="s">
        <v>17</v>
      </c>
      <c r="H21" s="16">
        <f>0.5*H20*100*G11^2</f>
        <v>-1.7268545898955379E-2</v>
      </c>
      <c r="K21" s="28" t="s">
        <v>23</v>
      </c>
      <c r="L21" s="29">
        <f>+L19+L20</f>
        <v>3.531518974178427E-2</v>
      </c>
      <c r="M21" s="30">
        <f>+M19+M20</f>
        <v>-6.9852281539695027E-2</v>
      </c>
    </row>
  </sheetData>
  <mergeCells count="1">
    <mergeCell ref="G2:I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Effective Duration</vt:lpstr>
      <vt:lpstr>Days</vt:lpstr>
      <vt:lpstr>Months</vt:lpstr>
      <vt:lpstr>Rate</vt:lpstr>
      <vt:lpstr>Servicing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Pistulka</dc:creator>
  <cp:lastModifiedBy>Don Pistulka</cp:lastModifiedBy>
  <dcterms:created xsi:type="dcterms:W3CDTF">2015-01-24T01:15:27Z</dcterms:created>
  <dcterms:modified xsi:type="dcterms:W3CDTF">2015-01-24T16:32:27Z</dcterms:modified>
</cp:coreProperties>
</file>