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sport\Downloads\"/>
    </mc:Choice>
  </mc:AlternateContent>
  <xr:revisionPtr revIDLastSave="0" documentId="8_{0D477D54-7B3E-4413-AE8A-14F29516971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1" l="1"/>
  <c r="G88" i="1"/>
  <c r="G87" i="1"/>
  <c r="C87" i="1"/>
  <c r="C61" i="1" l="1"/>
  <c r="C55" i="1"/>
  <c r="C56" i="1"/>
  <c r="C57" i="1"/>
  <c r="C58" i="1"/>
  <c r="C67" i="1" s="1"/>
  <c r="C59" i="1"/>
  <c r="C60" i="1"/>
  <c r="C92" i="1" s="1"/>
  <c r="F60" i="1"/>
  <c r="F61" i="1"/>
  <c r="C63" i="1"/>
  <c r="C64" i="1" s="1"/>
  <c r="C65" i="1"/>
  <c r="C66" i="1"/>
  <c r="C68" i="1"/>
  <c r="C69" i="1" s="1"/>
  <c r="C70" i="1"/>
  <c r="C71" i="1"/>
  <c r="C72" i="1"/>
  <c r="C73" i="1"/>
  <c r="C74" i="1"/>
  <c r="C77" i="1"/>
  <c r="C78" i="1"/>
  <c r="C80" i="1" s="1"/>
  <c r="C79" i="1"/>
  <c r="C85" i="1"/>
  <c r="C91" i="1"/>
  <c r="C90" i="1" s="1"/>
  <c r="C75" i="1" l="1"/>
  <c r="C76" i="1" s="1"/>
  <c r="C62" i="1"/>
  <c r="C82" i="1"/>
  <c r="C84" i="1" s="1"/>
  <c r="C81" i="1"/>
  <c r="C83" i="1" s="1"/>
  <c r="C86" i="1" s="1"/>
  <c r="C88" i="1" l="1"/>
  <c r="C89" i="1"/>
</calcChain>
</file>

<file path=xl/sharedStrings.xml><?xml version="1.0" encoding="utf-8"?>
<sst xmlns="http://schemas.openxmlformats.org/spreadsheetml/2006/main" count="258" uniqueCount="180">
  <si>
    <t>Данные</t>
  </si>
  <si>
    <t>t0нач</t>
  </si>
  <si>
    <t>t0I</t>
  </si>
  <si>
    <t>t0II</t>
  </si>
  <si>
    <t>t1I</t>
  </si>
  <si>
    <t>t1II</t>
  </si>
  <si>
    <t>t2I</t>
  </si>
  <si>
    <t>t1нач</t>
  </si>
  <si>
    <t>t2II</t>
  </si>
  <si>
    <t>Расчет</t>
  </si>
  <si>
    <t>Средное значения температуры за период сушки</t>
  </si>
  <si>
    <t>t2-</t>
  </si>
  <si>
    <r>
      <t>τ</t>
    </r>
    <r>
      <rPr>
        <sz val="11"/>
        <color theme="1"/>
        <rFont val="Calibri"/>
        <family val="2"/>
      </rPr>
      <t>1</t>
    </r>
  </si>
  <si>
    <t>τ2</t>
  </si>
  <si>
    <t>лажность материала в начеле сушки</t>
  </si>
  <si>
    <t>W1c</t>
  </si>
  <si>
    <t>лажность материала в конце сушки</t>
  </si>
  <si>
    <t>W1в</t>
  </si>
  <si>
    <t>W2в</t>
  </si>
  <si>
    <t>%</t>
  </si>
  <si>
    <t>температура мыссы сущимого материала в конце</t>
  </si>
  <si>
    <t>tм2</t>
  </si>
  <si>
    <t>Технологическая температура сушки</t>
  </si>
  <si>
    <t>tм1</t>
  </si>
  <si>
    <t>W2с</t>
  </si>
  <si>
    <t>iп100</t>
  </si>
  <si>
    <t>кДж/кг</t>
  </si>
  <si>
    <t>i1вл</t>
  </si>
  <si>
    <t>Q1</t>
  </si>
  <si>
    <t>кДж</t>
  </si>
  <si>
    <t>Потеря темпоты с одходящими газами</t>
  </si>
  <si>
    <t>i2</t>
  </si>
  <si>
    <t>кДж/м3</t>
  </si>
  <si>
    <t>i2в</t>
  </si>
  <si>
    <t>Разбавление первычных продуктов сгорания воздухом в количестве xв</t>
  </si>
  <si>
    <t>хв</t>
  </si>
  <si>
    <t>Valfa1</t>
  </si>
  <si>
    <t>q2</t>
  </si>
  <si>
    <t>Q2</t>
  </si>
  <si>
    <t>потери теплоты с уходящими газами</t>
  </si>
  <si>
    <t>Химический недожог</t>
  </si>
  <si>
    <t>Q3</t>
  </si>
  <si>
    <t>Потери теплоты на нагреве приспомобленний и теплопроводностью через стенки</t>
  </si>
  <si>
    <t>Gпр</t>
  </si>
  <si>
    <t>Масса приспособления</t>
  </si>
  <si>
    <t>кг</t>
  </si>
  <si>
    <t>tпр1</t>
  </si>
  <si>
    <t>tпр2</t>
  </si>
  <si>
    <t>спр</t>
  </si>
  <si>
    <t>кДж/(кг*К)</t>
  </si>
  <si>
    <t>Q5пр</t>
  </si>
  <si>
    <t>q5т</t>
  </si>
  <si>
    <t>t1-</t>
  </si>
  <si>
    <t>t2нач</t>
  </si>
  <si>
    <t>tст1-</t>
  </si>
  <si>
    <t>t0-</t>
  </si>
  <si>
    <t>tст2-</t>
  </si>
  <si>
    <t>tв</t>
  </si>
  <si>
    <t>S</t>
  </si>
  <si>
    <t>F2</t>
  </si>
  <si>
    <t>наружная поверность сушильной камеры</t>
  </si>
  <si>
    <t>внутренная поверность сушильной камеры</t>
  </si>
  <si>
    <t>F1</t>
  </si>
  <si>
    <t>м3</t>
  </si>
  <si>
    <t>Средняя поверхность стеной</t>
  </si>
  <si>
    <t>м2</t>
  </si>
  <si>
    <t>Q5т.ст</t>
  </si>
  <si>
    <t>Потери теплоты теплопроводностью через стенку сушильной печи</t>
  </si>
  <si>
    <t>Q5т.св</t>
  </si>
  <si>
    <t xml:space="preserve">Потери теплоты через свод </t>
  </si>
  <si>
    <t>Q5т.дв</t>
  </si>
  <si>
    <t>Потери теплоты через двери сушильной камеры</t>
  </si>
  <si>
    <t>Q5т.р.п</t>
  </si>
  <si>
    <t>Общие потери теплоты теплопроводностью</t>
  </si>
  <si>
    <t>Q5р.п</t>
  </si>
  <si>
    <t xml:space="preserve">Покрытие потерь топлоты теплопроводностью </t>
  </si>
  <si>
    <t>Q5топ</t>
  </si>
  <si>
    <t xml:space="preserve">Потери теплоты топкой </t>
  </si>
  <si>
    <t>tст.нач</t>
  </si>
  <si>
    <t>Аккумуляция теплоты стенками рабочего пространва</t>
  </si>
  <si>
    <t>∆t.ст1</t>
  </si>
  <si>
    <t>Средние изменинея температур внутренней поверхности стенок</t>
  </si>
  <si>
    <t>∆t ст.нагр</t>
  </si>
  <si>
    <t>t ст.охл</t>
  </si>
  <si>
    <t>τ'</t>
  </si>
  <si>
    <t>τ"</t>
  </si>
  <si>
    <t>Q.в</t>
  </si>
  <si>
    <t>В</t>
  </si>
  <si>
    <t>Расход топлива</t>
  </si>
  <si>
    <t>ᶯ</t>
  </si>
  <si>
    <t xml:space="preserve">коэффициент полезного дейстаия </t>
  </si>
  <si>
    <t>q.об</t>
  </si>
  <si>
    <t>Vтоп</t>
  </si>
  <si>
    <t>Объем одной  топки</t>
  </si>
  <si>
    <t>tст.1</t>
  </si>
  <si>
    <t>tст.2</t>
  </si>
  <si>
    <t xml:space="preserve">t ст.2 </t>
  </si>
  <si>
    <t>τ"'</t>
  </si>
  <si>
    <t>период охлаждения</t>
  </si>
  <si>
    <t>с</t>
  </si>
  <si>
    <t>Толщина стенки в 2 кирпича (2х0,230)</t>
  </si>
  <si>
    <t>м</t>
  </si>
  <si>
    <t>tсниз</t>
  </si>
  <si>
    <t xml:space="preserve">Сниженная  температура наружной поверхности стенок </t>
  </si>
  <si>
    <t>Sсв1</t>
  </si>
  <si>
    <t>Тольщина свода 1</t>
  </si>
  <si>
    <t>Sсв2</t>
  </si>
  <si>
    <t>Тольщина свода 2</t>
  </si>
  <si>
    <t>Fсв</t>
  </si>
  <si>
    <t>Поверхность свода</t>
  </si>
  <si>
    <t>tcл</t>
  </si>
  <si>
    <t>Температура на гринице слоев</t>
  </si>
  <si>
    <t>tсв1</t>
  </si>
  <si>
    <t xml:space="preserve">Температура внутренной стенки </t>
  </si>
  <si>
    <t xml:space="preserve">Температура внешной стенки </t>
  </si>
  <si>
    <t>tсв2</t>
  </si>
  <si>
    <r>
      <rPr>
        <sz val="11"/>
        <color theme="1"/>
        <rFont val="Abadi"/>
        <family val="2"/>
      </rPr>
      <t>λ</t>
    </r>
    <r>
      <rPr>
        <sz val="11"/>
        <color theme="1"/>
        <rFont val="Calibri"/>
        <family val="2"/>
      </rPr>
      <t>1</t>
    </r>
  </si>
  <si>
    <t>λ2</t>
  </si>
  <si>
    <t>Вт/(м*К)</t>
  </si>
  <si>
    <t>Коэффицент теплопроводности материала</t>
  </si>
  <si>
    <t>λ3</t>
  </si>
  <si>
    <t>Fдв</t>
  </si>
  <si>
    <t>Поверхность дв</t>
  </si>
  <si>
    <t>Тольщина дв</t>
  </si>
  <si>
    <t>Аккумуляция теплоты стенки печи при циклических калибаний температуры</t>
  </si>
  <si>
    <t>λ4</t>
  </si>
  <si>
    <t>Средняя теплоемкость</t>
  </si>
  <si>
    <t>Fсм</t>
  </si>
  <si>
    <t xml:space="preserve">Сумма внутренней поверхности стенки </t>
  </si>
  <si>
    <t>q3</t>
  </si>
  <si>
    <t>Потери теплоты последствием химического недожога</t>
  </si>
  <si>
    <t>Qx</t>
  </si>
  <si>
    <t>Химическая теплота топлива</t>
  </si>
  <si>
    <t>Qнр</t>
  </si>
  <si>
    <t>Теплота сгорания топлива</t>
  </si>
  <si>
    <t>м3/с</t>
  </si>
  <si>
    <t>qисп</t>
  </si>
  <si>
    <t>Расход теплоты на 1 кг исправленной влаги</t>
  </si>
  <si>
    <t>Gвл</t>
  </si>
  <si>
    <t>Масса исправленной из изделий влаги</t>
  </si>
  <si>
    <t>Тепловое напряжение сводного объема топки</t>
  </si>
  <si>
    <t>Вт/м3</t>
  </si>
  <si>
    <t>Ωтоп</t>
  </si>
  <si>
    <t>Сечение топки</t>
  </si>
  <si>
    <t>L</t>
  </si>
  <si>
    <t>Длина</t>
  </si>
  <si>
    <r>
      <rPr>
        <sz val="11"/>
        <color theme="1"/>
        <rFont val="Abadi"/>
        <family val="2"/>
      </rPr>
      <t>º</t>
    </r>
    <r>
      <rPr>
        <sz val="11"/>
        <color theme="1"/>
        <rFont val="Calibri"/>
        <family val="2"/>
      </rPr>
      <t>С</t>
    </r>
  </si>
  <si>
    <t>°С</t>
  </si>
  <si>
    <t>Температура отходящего газа</t>
  </si>
  <si>
    <t>Время работы сушильной печи 1</t>
  </si>
  <si>
    <t>Время работы сушильной печи 2</t>
  </si>
  <si>
    <t>Начальная влажность</t>
  </si>
  <si>
    <t>Конечная влажность</t>
  </si>
  <si>
    <t>Средняя по массе начальная температура материала</t>
  </si>
  <si>
    <t>Температура поступающего газа</t>
  </si>
  <si>
    <t>Температура газов под сводной камеры</t>
  </si>
  <si>
    <t>Температура газа в конце периода 1</t>
  </si>
  <si>
    <t>Температура газа в конце периода 2</t>
  </si>
  <si>
    <t xml:space="preserve">Температура сущильного агента, покидающего робочое пространство печи </t>
  </si>
  <si>
    <t>Средняя по массе конечная температура материала</t>
  </si>
  <si>
    <t>Энтальпия воденого пара при 100 C</t>
  </si>
  <si>
    <t>Начальная энтальпия воды</t>
  </si>
  <si>
    <t>Среднее температура 1</t>
  </si>
  <si>
    <t>Температура воздуха</t>
  </si>
  <si>
    <t>Удельная теплоемкость материла приспособлений в интервале tпр2-tпр1</t>
  </si>
  <si>
    <t>Температура массы приспособления в конце</t>
  </si>
  <si>
    <t>Температура массы приспособления в начеле</t>
  </si>
  <si>
    <t>Энтальрия воздуха</t>
  </si>
  <si>
    <t>Средное значение температуры t0- и t1-</t>
  </si>
  <si>
    <t>Средное значение температуры t1- и t2-</t>
  </si>
  <si>
    <t>Плотность телового потока</t>
  </si>
  <si>
    <t>Толщину стенок камеры</t>
  </si>
  <si>
    <t>Расчет статьи</t>
  </si>
  <si>
    <t>Температура за время τ2</t>
  </si>
  <si>
    <t xml:space="preserve">Температура нагрева стенки </t>
  </si>
  <si>
    <t>Температура стенки охложденная</t>
  </si>
  <si>
    <t>м3/ч</t>
  </si>
  <si>
    <t>В секунду:</t>
  </si>
  <si>
    <t>Всего топлива:</t>
  </si>
  <si>
    <t>КПД: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</si>
</sst>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Abad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0" fontId="0" fillId="4" borderId="0" xfId="0" applyFont="1" applyFill="1"/>
    <xf numFmtId="0" fontId="2" fillId="0" borderId="0" xfId="1"/>
    <xf numFmtId="0" fontId="7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 applyFill="1"/>
    <xf numFmtId="0" fontId="4" fillId="0" borderId="0" xfId="0" applyFont="1"/>
    <xf numFmtId="0" fontId="10" fillId="0" borderId="0" xfId="0" applyFont="1"/>
    <xf numFmtId="0" fontId="1" fillId="0" borderId="0" xfId="1" applyFont="1"/>
    <xf numFmtId="2" fontId="11" fillId="4" borderId="0" xfId="0" applyNumberFormat="1" applyFont="1" applyFill="1"/>
    <xf numFmtId="0" fontId="1" fillId="0" borderId="0" xfId="1" applyFont="1" applyFill="1"/>
    <xf numFmtId="2" fontId="0" fillId="2" borderId="0" xfId="0" applyNumberFormat="1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2" fontId="0" fillId="6" borderId="0" xfId="0" applyNumberFormat="1" applyFill="1"/>
  </cellXfs>
  <cellStyles count="2">
    <cellStyle name="Обычный" xfId="0" builtinId="0"/>
    <cellStyle name="Обычный 2" xfId="1" xr:uid="{2C36D6D6-51C3-4765-BC30-7AB114C68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topLeftCell="A67" zoomScaleNormal="100" workbookViewId="0">
      <selection activeCell="C88" sqref="C88"/>
    </sheetView>
  </sheetViews>
  <sheetFormatPr defaultRowHeight="15" x14ac:dyDescent="0.25"/>
  <cols>
    <col min="2" max="2" width="79" bestFit="1" customWidth="1"/>
    <col min="3" max="3" width="13.140625" customWidth="1"/>
    <col min="4" max="4" width="11" bestFit="1" customWidth="1"/>
    <col min="6" max="6" width="26" bestFit="1" customWidth="1"/>
    <col min="7" max="7" width="12" bestFit="1" customWidth="1"/>
  </cols>
  <sheetData>
    <row r="1" spans="1:4" x14ac:dyDescent="0.25">
      <c r="A1" s="20" t="s">
        <v>0</v>
      </c>
      <c r="B1" s="20"/>
      <c r="C1" s="20"/>
    </row>
    <row r="2" spans="1:4" x14ac:dyDescent="0.25">
      <c r="A2" t="s">
        <v>1</v>
      </c>
      <c r="B2" t="s">
        <v>154</v>
      </c>
      <c r="C2">
        <v>450</v>
      </c>
      <c r="D2" t="s">
        <v>147</v>
      </c>
    </row>
    <row r="3" spans="1:4" x14ac:dyDescent="0.25">
      <c r="A3" t="s">
        <v>2</v>
      </c>
      <c r="B3" t="s">
        <v>156</v>
      </c>
      <c r="C3">
        <v>700</v>
      </c>
      <c r="D3" t="s">
        <v>147</v>
      </c>
    </row>
    <row r="4" spans="1:4" x14ac:dyDescent="0.25">
      <c r="A4" t="s">
        <v>3</v>
      </c>
      <c r="B4" t="s">
        <v>157</v>
      </c>
      <c r="C4">
        <v>550</v>
      </c>
      <c r="D4" t="s">
        <v>147</v>
      </c>
    </row>
    <row r="5" spans="1:4" x14ac:dyDescent="0.25">
      <c r="A5" t="s">
        <v>7</v>
      </c>
      <c r="B5" t="s">
        <v>155</v>
      </c>
      <c r="C5">
        <v>200</v>
      </c>
      <c r="D5" t="s">
        <v>147</v>
      </c>
    </row>
    <row r="6" spans="1:4" x14ac:dyDescent="0.25">
      <c r="A6" t="s">
        <v>4</v>
      </c>
      <c r="C6">
        <v>400</v>
      </c>
      <c r="D6" t="s">
        <v>147</v>
      </c>
    </row>
    <row r="7" spans="1:4" x14ac:dyDescent="0.25">
      <c r="A7" t="s">
        <v>5</v>
      </c>
      <c r="B7" t="s">
        <v>22</v>
      </c>
      <c r="C7">
        <v>400</v>
      </c>
      <c r="D7" t="s">
        <v>147</v>
      </c>
    </row>
    <row r="8" spans="1:4" x14ac:dyDescent="0.25">
      <c r="A8" t="s">
        <v>53</v>
      </c>
      <c r="B8" t="s">
        <v>148</v>
      </c>
      <c r="C8">
        <v>100</v>
      </c>
      <c r="D8" t="s">
        <v>147</v>
      </c>
    </row>
    <row r="9" spans="1:4" x14ac:dyDescent="0.25">
      <c r="A9" t="s">
        <v>6</v>
      </c>
      <c r="C9">
        <v>330</v>
      </c>
      <c r="D9" t="s">
        <v>147</v>
      </c>
    </row>
    <row r="10" spans="1:4" x14ac:dyDescent="0.25">
      <c r="A10" t="s">
        <v>8</v>
      </c>
      <c r="B10" t="s">
        <v>158</v>
      </c>
      <c r="C10">
        <v>350</v>
      </c>
      <c r="D10" t="s">
        <v>147</v>
      </c>
    </row>
    <row r="11" spans="1:4" x14ac:dyDescent="0.25">
      <c r="A11" s="1" t="s">
        <v>12</v>
      </c>
      <c r="B11" t="s">
        <v>149</v>
      </c>
      <c r="C11">
        <v>14400</v>
      </c>
    </row>
    <row r="12" spans="1:4" x14ac:dyDescent="0.25">
      <c r="A12" t="s">
        <v>13</v>
      </c>
      <c r="B12" t="s">
        <v>150</v>
      </c>
      <c r="C12">
        <v>14400</v>
      </c>
    </row>
    <row r="13" spans="1:4" x14ac:dyDescent="0.25">
      <c r="A13" t="s">
        <v>17</v>
      </c>
      <c r="B13" t="s">
        <v>151</v>
      </c>
      <c r="C13">
        <v>8</v>
      </c>
      <c r="D13" t="s">
        <v>19</v>
      </c>
    </row>
    <row r="14" spans="1:4" x14ac:dyDescent="0.25">
      <c r="A14" t="s">
        <v>18</v>
      </c>
      <c r="B14" t="s">
        <v>152</v>
      </c>
      <c r="C14">
        <v>2</v>
      </c>
      <c r="D14" t="s">
        <v>19</v>
      </c>
    </row>
    <row r="15" spans="1:4" x14ac:dyDescent="0.25">
      <c r="A15" t="s">
        <v>23</v>
      </c>
      <c r="B15" t="s">
        <v>153</v>
      </c>
      <c r="C15">
        <v>275</v>
      </c>
      <c r="D15" t="s">
        <v>147</v>
      </c>
    </row>
    <row r="16" spans="1:4" x14ac:dyDescent="0.25">
      <c r="A16" t="s">
        <v>21</v>
      </c>
      <c r="B16" t="s">
        <v>159</v>
      </c>
      <c r="C16">
        <v>20</v>
      </c>
      <c r="D16" t="s">
        <v>147</v>
      </c>
    </row>
    <row r="17" spans="1:4" x14ac:dyDescent="0.25">
      <c r="A17" t="s">
        <v>25</v>
      </c>
      <c r="B17" t="s">
        <v>160</v>
      </c>
      <c r="C17">
        <v>2675</v>
      </c>
      <c r="D17" t="s">
        <v>26</v>
      </c>
    </row>
    <row r="18" spans="1:4" x14ac:dyDescent="0.25">
      <c r="A18" t="s">
        <v>27</v>
      </c>
      <c r="B18" t="s">
        <v>161</v>
      </c>
      <c r="C18">
        <v>83.8</v>
      </c>
      <c r="D18" t="s">
        <v>26</v>
      </c>
    </row>
    <row r="19" spans="1:4" x14ac:dyDescent="0.25">
      <c r="B19" s="5" t="s">
        <v>30</v>
      </c>
    </row>
    <row r="20" spans="1:4" x14ac:dyDescent="0.25">
      <c r="A20" t="s">
        <v>31</v>
      </c>
      <c r="C20">
        <v>398</v>
      </c>
      <c r="D20" t="s">
        <v>32</v>
      </c>
    </row>
    <row r="21" spans="1:4" x14ac:dyDescent="0.25">
      <c r="A21" t="s">
        <v>33</v>
      </c>
      <c r="B21" t="s">
        <v>167</v>
      </c>
      <c r="C21">
        <v>377</v>
      </c>
      <c r="D21" t="s">
        <v>32</v>
      </c>
    </row>
    <row r="22" spans="1:4" x14ac:dyDescent="0.25">
      <c r="A22" t="s">
        <v>35</v>
      </c>
      <c r="C22">
        <v>1.62</v>
      </c>
    </row>
    <row r="23" spans="1:4" x14ac:dyDescent="0.25">
      <c r="A23" t="s">
        <v>36</v>
      </c>
      <c r="C23">
        <v>11.11</v>
      </c>
    </row>
    <row r="24" spans="1:4" x14ac:dyDescent="0.25">
      <c r="A24" t="s">
        <v>43</v>
      </c>
      <c r="B24" t="s">
        <v>44</v>
      </c>
      <c r="C24">
        <v>2000</v>
      </c>
      <c r="D24" t="s">
        <v>45</v>
      </c>
    </row>
    <row r="25" spans="1:4" x14ac:dyDescent="0.25">
      <c r="A25" t="s">
        <v>46</v>
      </c>
      <c r="B25" t="s">
        <v>166</v>
      </c>
      <c r="C25">
        <v>20</v>
      </c>
      <c r="D25" t="s">
        <v>147</v>
      </c>
    </row>
    <row r="26" spans="1:4" x14ac:dyDescent="0.25">
      <c r="A26" t="s">
        <v>47</v>
      </c>
      <c r="B26" t="s">
        <v>165</v>
      </c>
      <c r="C26">
        <v>400</v>
      </c>
      <c r="D26" t="s">
        <v>147</v>
      </c>
    </row>
    <row r="27" spans="1:4" x14ac:dyDescent="0.25">
      <c r="A27" t="s">
        <v>48</v>
      </c>
      <c r="B27" t="s">
        <v>164</v>
      </c>
      <c r="C27">
        <v>0.54</v>
      </c>
      <c r="D27" t="s">
        <v>49</v>
      </c>
    </row>
    <row r="28" spans="1:4" x14ac:dyDescent="0.25">
      <c r="A28" t="s">
        <v>57</v>
      </c>
      <c r="B28" t="s">
        <v>163</v>
      </c>
      <c r="C28">
        <v>20</v>
      </c>
      <c r="D28" t="s">
        <v>147</v>
      </c>
    </row>
    <row r="29" spans="1:4" x14ac:dyDescent="0.25">
      <c r="A29" s="19" t="s">
        <v>54</v>
      </c>
      <c r="B29" t="s">
        <v>162</v>
      </c>
      <c r="C29">
        <v>485</v>
      </c>
      <c r="D29" t="s">
        <v>147</v>
      </c>
    </row>
    <row r="30" spans="1:4" x14ac:dyDescent="0.25">
      <c r="A30" s="19" t="s">
        <v>56</v>
      </c>
      <c r="B30" t="s">
        <v>162</v>
      </c>
      <c r="C30">
        <v>76</v>
      </c>
      <c r="D30" t="s">
        <v>147</v>
      </c>
    </row>
    <row r="31" spans="1:4" x14ac:dyDescent="0.25">
      <c r="A31" t="s">
        <v>59</v>
      </c>
      <c r="B31" t="s">
        <v>60</v>
      </c>
      <c r="C31">
        <v>46.5</v>
      </c>
      <c r="D31" t="s">
        <v>63</v>
      </c>
    </row>
    <row r="32" spans="1:4" x14ac:dyDescent="0.25">
      <c r="A32" t="s">
        <v>62</v>
      </c>
      <c r="B32" t="s">
        <v>61</v>
      </c>
      <c r="C32">
        <v>39.5</v>
      </c>
      <c r="D32" t="s">
        <v>63</v>
      </c>
    </row>
    <row r="33" spans="1:4" x14ac:dyDescent="0.25">
      <c r="A33" t="s">
        <v>97</v>
      </c>
      <c r="B33" t="s">
        <v>98</v>
      </c>
      <c r="C33">
        <v>25200</v>
      </c>
      <c r="D33" t="s">
        <v>99</v>
      </c>
    </row>
    <row r="34" spans="1:4" x14ac:dyDescent="0.25">
      <c r="A34" t="s">
        <v>58</v>
      </c>
      <c r="B34" t="s">
        <v>100</v>
      </c>
      <c r="C34">
        <v>0.47</v>
      </c>
      <c r="D34" t="s">
        <v>101</v>
      </c>
    </row>
    <row r="35" spans="1:4" x14ac:dyDescent="0.25">
      <c r="A35" t="s">
        <v>102</v>
      </c>
      <c r="B35" t="s">
        <v>103</v>
      </c>
      <c r="C35">
        <v>50</v>
      </c>
      <c r="D35" t="s">
        <v>147</v>
      </c>
    </row>
    <row r="36" spans="1:4" x14ac:dyDescent="0.25">
      <c r="A36" t="s">
        <v>104</v>
      </c>
      <c r="B36" t="s">
        <v>105</v>
      </c>
      <c r="C36">
        <v>0.115</v>
      </c>
      <c r="D36" t="s">
        <v>101</v>
      </c>
    </row>
    <row r="37" spans="1:4" x14ac:dyDescent="0.25">
      <c r="A37" t="s">
        <v>106</v>
      </c>
      <c r="B37" t="s">
        <v>107</v>
      </c>
      <c r="C37">
        <v>7.4999999999999997E-2</v>
      </c>
      <c r="D37" t="s">
        <v>101</v>
      </c>
    </row>
    <row r="38" spans="1:4" x14ac:dyDescent="0.25">
      <c r="A38" t="s">
        <v>108</v>
      </c>
      <c r="B38" t="s">
        <v>109</v>
      </c>
      <c r="C38">
        <v>28.9</v>
      </c>
      <c r="D38" t="s">
        <v>65</v>
      </c>
    </row>
    <row r="39" spans="1:4" x14ac:dyDescent="0.25">
      <c r="A39" t="s">
        <v>110</v>
      </c>
      <c r="B39" t="s">
        <v>111</v>
      </c>
      <c r="C39">
        <v>295</v>
      </c>
      <c r="D39" t="s">
        <v>147</v>
      </c>
    </row>
    <row r="40" spans="1:4" x14ac:dyDescent="0.25">
      <c r="A40" t="s">
        <v>112</v>
      </c>
      <c r="B40" t="s">
        <v>113</v>
      </c>
      <c r="C40">
        <v>380</v>
      </c>
      <c r="D40" t="s">
        <v>147</v>
      </c>
    </row>
    <row r="41" spans="1:4" x14ac:dyDescent="0.25">
      <c r="A41" t="s">
        <v>115</v>
      </c>
      <c r="B41" t="s">
        <v>114</v>
      </c>
      <c r="C41">
        <v>76</v>
      </c>
      <c r="D41" t="s">
        <v>147</v>
      </c>
    </row>
    <row r="42" spans="1:4" x14ac:dyDescent="0.25">
      <c r="A42" s="13" t="s">
        <v>116</v>
      </c>
      <c r="B42" t="s">
        <v>119</v>
      </c>
      <c r="C42">
        <v>0.52800000000000002</v>
      </c>
      <c r="D42" t="s">
        <v>118</v>
      </c>
    </row>
    <row r="43" spans="1:4" x14ac:dyDescent="0.25">
      <c r="A43" s="14" t="s">
        <v>117</v>
      </c>
      <c r="B43" t="s">
        <v>119</v>
      </c>
      <c r="C43">
        <v>0.129</v>
      </c>
      <c r="D43" t="s">
        <v>118</v>
      </c>
    </row>
    <row r="44" spans="1:4" x14ac:dyDescent="0.25">
      <c r="A44" s="14" t="s">
        <v>120</v>
      </c>
      <c r="B44" t="s">
        <v>119</v>
      </c>
      <c r="C44">
        <v>8.4000000000000005E-2</v>
      </c>
      <c r="D44" t="s">
        <v>118</v>
      </c>
    </row>
    <row r="45" spans="1:4" x14ac:dyDescent="0.25">
      <c r="A45" s="13" t="s">
        <v>121</v>
      </c>
      <c r="B45" t="s">
        <v>122</v>
      </c>
      <c r="C45">
        <v>9.25</v>
      </c>
      <c r="D45" t="s">
        <v>65</v>
      </c>
    </row>
    <row r="46" spans="1:4" x14ac:dyDescent="0.25">
      <c r="A46" s="13" t="s">
        <v>58</v>
      </c>
      <c r="B46" t="s">
        <v>123</v>
      </c>
      <c r="C46">
        <v>3.5000000000000003E-2</v>
      </c>
      <c r="D46" t="s">
        <v>101</v>
      </c>
    </row>
    <row r="47" spans="1:4" x14ac:dyDescent="0.25">
      <c r="A47" s="14" t="s">
        <v>125</v>
      </c>
      <c r="B47" t="s">
        <v>119</v>
      </c>
      <c r="C47">
        <v>0.65</v>
      </c>
      <c r="D47" t="s">
        <v>118</v>
      </c>
    </row>
    <row r="48" spans="1:4" x14ac:dyDescent="0.25">
      <c r="A48" s="14" t="s">
        <v>99</v>
      </c>
      <c r="B48" t="s">
        <v>126</v>
      </c>
      <c r="C48">
        <v>960</v>
      </c>
      <c r="D48" t="s">
        <v>49</v>
      </c>
    </row>
    <row r="49" spans="1:6" x14ac:dyDescent="0.25">
      <c r="A49" s="14" t="s">
        <v>129</v>
      </c>
      <c r="B49" t="s">
        <v>130</v>
      </c>
      <c r="C49">
        <v>2.19</v>
      </c>
      <c r="D49" t="s">
        <v>32</v>
      </c>
    </row>
    <row r="50" spans="1:6" x14ac:dyDescent="0.25">
      <c r="A50" s="14" t="s">
        <v>133</v>
      </c>
      <c r="B50" t="s">
        <v>134</v>
      </c>
      <c r="C50">
        <v>33500</v>
      </c>
    </row>
    <row r="51" spans="1:6" x14ac:dyDescent="0.25">
      <c r="A51" s="1" t="s">
        <v>142</v>
      </c>
      <c r="B51" t="s">
        <v>143</v>
      </c>
      <c r="C51">
        <v>0.432</v>
      </c>
      <c r="D51" t="s">
        <v>63</v>
      </c>
    </row>
    <row r="52" spans="1:6" x14ac:dyDescent="0.25">
      <c r="A52" s="14" t="s">
        <v>144</v>
      </c>
      <c r="B52" t="s">
        <v>145</v>
      </c>
      <c r="C52">
        <v>7</v>
      </c>
    </row>
    <row r="54" spans="1:6" ht="18.75" x14ac:dyDescent="0.3">
      <c r="B54" s="6" t="s">
        <v>9</v>
      </c>
    </row>
    <row r="55" spans="1:6" x14ac:dyDescent="0.25">
      <c r="A55" t="s">
        <v>131</v>
      </c>
      <c r="B55" t="s">
        <v>132</v>
      </c>
      <c r="C55" s="3">
        <f>C50*(C11+C12)</f>
        <v>964800000</v>
      </c>
      <c r="D55" t="s">
        <v>29</v>
      </c>
    </row>
    <row r="56" spans="1:6" x14ac:dyDescent="0.25">
      <c r="A56" t="s">
        <v>11</v>
      </c>
      <c r="B56" t="s">
        <v>10</v>
      </c>
      <c r="C56" s="2">
        <f>(C8+(C9-C8)*(1/(0.7+1)))*(C11/(C11+C12))+0.5*(C9+C10)*(C11/(C11+C12))</f>
        <v>287.64705882352939</v>
      </c>
      <c r="D56" s="13" t="s">
        <v>146</v>
      </c>
    </row>
    <row r="57" spans="1:6" x14ac:dyDescent="0.25">
      <c r="A57" t="s">
        <v>52</v>
      </c>
      <c r="B57" t="s">
        <v>10</v>
      </c>
      <c r="C57" s="4">
        <f>(C5+(C6-C7)*(1/(0.7+1)))*(C11/(C11+C12))+0.5*(C6+C7)*(C11/(C11+C12))</f>
        <v>300</v>
      </c>
      <c r="D57" s="13" t="s">
        <v>146</v>
      </c>
    </row>
    <row r="58" spans="1:6" x14ac:dyDescent="0.25">
      <c r="A58" t="s">
        <v>55</v>
      </c>
      <c r="B58" t="s">
        <v>10</v>
      </c>
      <c r="C58" s="4">
        <f>(C2+(C3-C4)*(1/(0.7+1)))*(C11/(C11+C12))+0.5*(C3+C4)*(C11/(C11+C12))</f>
        <v>581.61764705882354</v>
      </c>
      <c r="D58" t="s">
        <v>29</v>
      </c>
    </row>
    <row r="59" spans="1:6" x14ac:dyDescent="0.25">
      <c r="A59" t="s">
        <v>15</v>
      </c>
      <c r="B59" t="s">
        <v>14</v>
      </c>
      <c r="C59" s="2">
        <f>C13/(1-0.01*8)</f>
        <v>8.695652173913043</v>
      </c>
      <c r="D59" t="s">
        <v>29</v>
      </c>
    </row>
    <row r="60" spans="1:6" x14ac:dyDescent="0.25">
      <c r="A60" t="s">
        <v>24</v>
      </c>
      <c r="B60" t="s">
        <v>16</v>
      </c>
      <c r="C60" s="2">
        <f>C14/(1-0.01*C14)</f>
        <v>2.0408163265306123</v>
      </c>
      <c r="D60" t="s">
        <v>29</v>
      </c>
      <c r="E60" t="s">
        <v>94</v>
      </c>
      <c r="F60">
        <f>0.5*(C6+C3)</f>
        <v>550</v>
      </c>
    </row>
    <row r="61" spans="1:6" x14ac:dyDescent="0.25">
      <c r="A61" t="s">
        <v>21</v>
      </c>
      <c r="B61" t="s">
        <v>20</v>
      </c>
      <c r="C61" s="2">
        <f>0.5*(C7+C10)-100</f>
        <v>275</v>
      </c>
      <c r="D61" s="13" t="s">
        <v>146</v>
      </c>
      <c r="E61" t="s">
        <v>95</v>
      </c>
      <c r="F61">
        <f>0.5*(C7+C4)</f>
        <v>475</v>
      </c>
    </row>
    <row r="62" spans="1:6" x14ac:dyDescent="0.25">
      <c r="A62" t="s">
        <v>28</v>
      </c>
      <c r="B62" t="s">
        <v>172</v>
      </c>
      <c r="C62" s="3">
        <f>((0.84+(0.01*(C60*4.19)))*(C15-C16)+0.01*(C59-C60)*(C17-C18+2.09*C56-100))*10000</f>
        <v>4417980.7140247403</v>
      </c>
      <c r="D62" t="s">
        <v>29</v>
      </c>
    </row>
    <row r="63" spans="1:6" x14ac:dyDescent="0.25">
      <c r="A63" t="s">
        <v>37</v>
      </c>
      <c r="B63" t="s">
        <v>34</v>
      </c>
      <c r="C63" s="3">
        <f>(C20+C22*(C21-25))*C23</f>
        <v>10757.1464</v>
      </c>
      <c r="D63" t="s">
        <v>29</v>
      </c>
    </row>
    <row r="64" spans="1:6" x14ac:dyDescent="0.25">
      <c r="A64" t="s">
        <v>38</v>
      </c>
      <c r="B64" t="s">
        <v>39</v>
      </c>
      <c r="C64" s="3">
        <f>C63*28800</f>
        <v>309805816.31999999</v>
      </c>
      <c r="D64" t="s">
        <v>29</v>
      </c>
    </row>
    <row r="65" spans="1:4" x14ac:dyDescent="0.25">
      <c r="A65" t="s">
        <v>41</v>
      </c>
      <c r="B65" t="s">
        <v>40</v>
      </c>
      <c r="C65" s="3">
        <f>0.02*C50*(C11+C12)</f>
        <v>19296000</v>
      </c>
      <c r="D65" t="s">
        <v>29</v>
      </c>
    </row>
    <row r="66" spans="1:4" x14ac:dyDescent="0.25">
      <c r="A66" t="s">
        <v>50</v>
      </c>
      <c r="B66" t="s">
        <v>42</v>
      </c>
      <c r="C66" s="3">
        <f>C27*(C26-C25)*C24</f>
        <v>410400.00000000006</v>
      </c>
      <c r="D66" t="s">
        <v>29</v>
      </c>
    </row>
    <row r="67" spans="1:4" x14ac:dyDescent="0.25">
      <c r="A67" t="s">
        <v>54</v>
      </c>
      <c r="B67" t="s">
        <v>168</v>
      </c>
      <c r="C67" s="4">
        <f>(C11/(C11+C12))*(C58+C57)</f>
        <v>440.80882352941177</v>
      </c>
      <c r="D67" s="13" t="s">
        <v>146</v>
      </c>
    </row>
    <row r="68" spans="1:4" x14ac:dyDescent="0.25">
      <c r="A68" t="s">
        <v>56</v>
      </c>
      <c r="B68" t="s">
        <v>169</v>
      </c>
      <c r="C68" s="4">
        <f>(C11/(C11+C12))*(C56+C57)</f>
        <v>293.8235294117647</v>
      </c>
      <c r="D68" s="13" t="s">
        <v>146</v>
      </c>
    </row>
    <row r="69" spans="1:4" x14ac:dyDescent="0.25">
      <c r="A69" t="s">
        <v>51</v>
      </c>
      <c r="B69" t="s">
        <v>170</v>
      </c>
      <c r="C69" s="7">
        <f>(C13+0.06*C68)*(C68-C28)</f>
        <v>7017.9359861591693</v>
      </c>
      <c r="D69" t="s">
        <v>29</v>
      </c>
    </row>
    <row r="70" spans="1:4" x14ac:dyDescent="0.25">
      <c r="A70" t="s">
        <v>58</v>
      </c>
      <c r="B70" t="s">
        <v>171</v>
      </c>
      <c r="C70" s="2">
        <f>((0.509*(C29-C30))/(0.8*700))</f>
        <v>0.37175178571428574</v>
      </c>
    </row>
    <row r="71" spans="1:4" x14ac:dyDescent="0.25">
      <c r="A71" t="s">
        <v>59</v>
      </c>
      <c r="B71" t="s">
        <v>64</v>
      </c>
      <c r="C71" s="2">
        <f>(C11/(C11+C12))*(C32+C31)</f>
        <v>43</v>
      </c>
      <c r="D71" t="s">
        <v>65</v>
      </c>
    </row>
    <row r="72" spans="1:4" x14ac:dyDescent="0.25">
      <c r="A72" t="s">
        <v>66</v>
      </c>
      <c r="B72" t="s">
        <v>67</v>
      </c>
      <c r="C72" s="3">
        <f>(0.001*(0.509/C34)*(C29-C35)*C71*(C11+C12))</f>
        <v>583404.97021276597</v>
      </c>
      <c r="D72" t="s">
        <v>29</v>
      </c>
    </row>
    <row r="73" spans="1:4" x14ac:dyDescent="0.25">
      <c r="A73" s="9" t="s">
        <v>68</v>
      </c>
      <c r="B73" s="9" t="s">
        <v>69</v>
      </c>
      <c r="C73" s="3">
        <f>0.001*(((C40-C41)*C38*(C11+C12))/((C36/C42)+(C37/C43)))</f>
        <v>316598.84029319376</v>
      </c>
      <c r="D73" t="s">
        <v>29</v>
      </c>
    </row>
    <row r="74" spans="1:4" x14ac:dyDescent="0.25">
      <c r="A74" s="9" t="s">
        <v>70</v>
      </c>
      <c r="B74" s="9" t="s">
        <v>71</v>
      </c>
      <c r="C74" s="3">
        <f>0.001*(((C40-C41)*C45*(C11+C12))/(C46/C44))</f>
        <v>194365.44</v>
      </c>
      <c r="D74" t="s">
        <v>29</v>
      </c>
    </row>
    <row r="75" spans="1:4" x14ac:dyDescent="0.25">
      <c r="A75" s="9" t="s">
        <v>72</v>
      </c>
      <c r="B75" s="9" t="s">
        <v>73</v>
      </c>
      <c r="C75" s="3">
        <f>C74+C73+C72</f>
        <v>1094369.2505059596</v>
      </c>
      <c r="D75" t="s">
        <v>29</v>
      </c>
    </row>
    <row r="76" spans="1:4" x14ac:dyDescent="0.25">
      <c r="A76" s="9" t="s">
        <v>74</v>
      </c>
      <c r="B76" s="9" t="s">
        <v>75</v>
      </c>
      <c r="C76" s="3">
        <f>(0.41+C75)</f>
        <v>1094369.6605059595</v>
      </c>
      <c r="D76" t="s">
        <v>29</v>
      </c>
    </row>
    <row r="77" spans="1:4" x14ac:dyDescent="0.25">
      <c r="A77" s="9" t="s">
        <v>76</v>
      </c>
      <c r="B77" s="9" t="s">
        <v>77</v>
      </c>
      <c r="C77" s="3">
        <f>(1-0.8)*(C11+C12)*C50</f>
        <v>192959999.99999997</v>
      </c>
      <c r="D77" t="s">
        <v>29</v>
      </c>
    </row>
    <row r="78" spans="1:4" x14ac:dyDescent="0.25">
      <c r="A78" s="9" t="s">
        <v>78</v>
      </c>
      <c r="B78" s="9" t="s">
        <v>79</v>
      </c>
      <c r="C78" s="2">
        <f>0.5*(0.5*(C28+C2)+C5)</f>
        <v>217.5</v>
      </c>
      <c r="D78" s="13" t="s">
        <v>146</v>
      </c>
    </row>
    <row r="79" spans="1:4" x14ac:dyDescent="0.25">
      <c r="A79" s="10" t="s">
        <v>80</v>
      </c>
      <c r="B79" s="9" t="s">
        <v>81</v>
      </c>
      <c r="C79" s="2">
        <f>0.7*((0.5*(C6+C3))-C78)</f>
        <v>232.74999999999997</v>
      </c>
      <c r="D79" s="13" t="s">
        <v>146</v>
      </c>
    </row>
    <row r="80" spans="1:4" x14ac:dyDescent="0.25">
      <c r="A80" s="12" t="s">
        <v>96</v>
      </c>
      <c r="B80" s="12" t="s">
        <v>173</v>
      </c>
      <c r="C80" s="2">
        <f>0.5*(C4+(0.5*(C7+C4)))-C78</f>
        <v>295</v>
      </c>
      <c r="D80" s="13" t="s">
        <v>146</v>
      </c>
    </row>
    <row r="81" spans="1:8" x14ac:dyDescent="0.25">
      <c r="A81" s="10" t="s">
        <v>82</v>
      </c>
      <c r="B81" s="9" t="s">
        <v>174</v>
      </c>
      <c r="C81" s="2">
        <f>((C11*C79+C12*C80)/(C11+C12))</f>
        <v>263.875</v>
      </c>
      <c r="D81" s="13" t="s">
        <v>146</v>
      </c>
    </row>
    <row r="82" spans="1:8" x14ac:dyDescent="0.25">
      <c r="A82" s="9" t="s">
        <v>83</v>
      </c>
      <c r="B82" s="9" t="s">
        <v>175</v>
      </c>
      <c r="C82" s="2">
        <f>0.8*((0.5*(C7+C4))-C78)</f>
        <v>206</v>
      </c>
      <c r="D82" s="13" t="s">
        <v>146</v>
      </c>
    </row>
    <row r="83" spans="1:8" x14ac:dyDescent="0.25">
      <c r="A83" s="9" t="s">
        <v>84</v>
      </c>
      <c r="B83" s="8"/>
      <c r="C83" s="2">
        <f>(C11+C12)*((C81/C80)^(2))</f>
        <v>23043.314564780234</v>
      </c>
    </row>
    <row r="84" spans="1:8" x14ac:dyDescent="0.25">
      <c r="A84" s="9" t="s">
        <v>85</v>
      </c>
      <c r="B84" s="8"/>
      <c r="C84" s="2">
        <f>C33*((C82/C80)^(2))</f>
        <v>12288.275782821027</v>
      </c>
    </row>
    <row r="85" spans="1:8" x14ac:dyDescent="0.25">
      <c r="A85" s="12" t="s">
        <v>127</v>
      </c>
      <c r="B85" t="s">
        <v>128</v>
      </c>
      <c r="C85" s="2">
        <f>C32+C38+C45</f>
        <v>77.650000000000006</v>
      </c>
      <c r="D85" t="s">
        <v>65</v>
      </c>
    </row>
    <row r="86" spans="1:8" x14ac:dyDescent="0.25">
      <c r="A86" s="9" t="s">
        <v>86</v>
      </c>
      <c r="B86" s="15" t="s">
        <v>124</v>
      </c>
      <c r="C86" s="3">
        <f>1.7725*SQRT(C47*C48*1300)*SQRT(C83*C84)*((C80*C85)/((SQRT(C83)+SQRT(C84))*1000))</f>
        <v>2342878.1502880766</v>
      </c>
      <c r="D86" t="s">
        <v>29</v>
      </c>
    </row>
    <row r="87" spans="1:8" x14ac:dyDescent="0.25">
      <c r="A87" s="9" t="s">
        <v>87</v>
      </c>
      <c r="B87" s="8" t="s">
        <v>88</v>
      </c>
      <c r="C87" s="16">
        <f>(C62+C76+2.19)/((C50-C63-0.5-0.2)*C50)*10^4</f>
        <v>72.353674432655794</v>
      </c>
      <c r="E87" t="s">
        <v>176</v>
      </c>
      <c r="F87" s="21" t="s">
        <v>177</v>
      </c>
      <c r="G87" s="21">
        <f>C87/3600</f>
        <v>2.0098242897959941E-2</v>
      </c>
      <c r="H87" t="s">
        <v>135</v>
      </c>
    </row>
    <row r="88" spans="1:8" ht="15.75" x14ac:dyDescent="0.25">
      <c r="A88" s="11" t="s">
        <v>89</v>
      </c>
      <c r="B88" s="8" t="s">
        <v>90</v>
      </c>
      <c r="C88" s="18">
        <f>C62/(C87*C50)</f>
        <v>1.8227135297312447</v>
      </c>
      <c r="D88" t="s">
        <v>135</v>
      </c>
      <c r="F88" s="21" t="s">
        <v>178</v>
      </c>
      <c r="G88" s="21">
        <f>G87*28800</f>
        <v>578.82939546124635</v>
      </c>
      <c r="H88" t="s">
        <v>63</v>
      </c>
    </row>
    <row r="89" spans="1:8" x14ac:dyDescent="0.25">
      <c r="A89" s="12" t="s">
        <v>136</v>
      </c>
      <c r="B89" s="17" t="s">
        <v>137</v>
      </c>
      <c r="C89" s="18">
        <f>C87*C50/C92</f>
        <v>3642.2357351569376</v>
      </c>
      <c r="D89" t="s">
        <v>26</v>
      </c>
      <c r="F89" s="21" t="s">
        <v>179</v>
      </c>
      <c r="G89" s="22">
        <f>C62/(C50*G88)</f>
        <v>0.22783919121640558</v>
      </c>
    </row>
    <row r="90" spans="1:8" x14ac:dyDescent="0.25">
      <c r="A90" s="9" t="s">
        <v>91</v>
      </c>
      <c r="B90" s="15" t="s">
        <v>140</v>
      </c>
      <c r="C90" s="18">
        <f>((0.01809*C50)/(2*C91))*1000</f>
        <v>100200.89285714286</v>
      </c>
      <c r="D90" t="s">
        <v>141</v>
      </c>
    </row>
    <row r="91" spans="1:8" x14ac:dyDescent="0.25">
      <c r="A91" s="9" t="s">
        <v>92</v>
      </c>
      <c r="B91" s="8" t="s">
        <v>93</v>
      </c>
      <c r="C91" s="2">
        <f>C52*C51</f>
        <v>3.024</v>
      </c>
      <c r="D91" t="s">
        <v>63</v>
      </c>
    </row>
    <row r="92" spans="1:8" x14ac:dyDescent="0.25">
      <c r="A92" s="14" t="s">
        <v>138</v>
      </c>
      <c r="B92" t="s">
        <v>139</v>
      </c>
      <c r="C92" s="2">
        <f>100*(C59-C60)</f>
        <v>665.48358473824317</v>
      </c>
      <c r="D92" t="s">
        <v>45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Begmurod Saidmurodov</dc:creator>
  <cp:lastModifiedBy>Ivan Gurin</cp:lastModifiedBy>
  <dcterms:created xsi:type="dcterms:W3CDTF">2015-06-05T18:19:34Z</dcterms:created>
  <dcterms:modified xsi:type="dcterms:W3CDTF">2020-07-01T11:46:56Z</dcterms:modified>
</cp:coreProperties>
</file>