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hou\excel_homework\Case Assignment\"/>
    </mc:Choice>
  </mc:AlternateContent>
  <xr:revisionPtr revIDLastSave="0" documentId="13_ncr:1_{25D1C7C9-8349-4AC2-A0F0-FB228D43F7BE}" xr6:coauthVersionLast="45" xr6:coauthVersionMax="45" xr10:uidLastSave="{00000000-0000-0000-0000-000000000000}"/>
  <bookViews>
    <workbookView xWindow="1080" yWindow="555" windowWidth="36765" windowHeight="17385" activeTab="1" xr2:uid="{00000000-000D-0000-FFFF-FFFF00000000}"/>
  </bookViews>
  <sheets>
    <sheet name="Main Data" sheetId="1" r:id="rId1"/>
    <sheet name="Percents by Goal" sheetId="7" r:id="rId2"/>
    <sheet name="Launch Date Pivot" sheetId="6" r:id="rId3"/>
    <sheet name="Main Category Pivot" sheetId="3" r:id="rId4"/>
    <sheet name="Sub Category Pivot" sheetId="5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<sst xmlns="http://schemas.openxmlformats.org/spreadsheetml/2006/main" count="33049" uniqueCount="8400">
  <si>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</si>
  <si>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</si>
  <si>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</si>
  <si>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</si>
  <si>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</si>
  <si>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</si>
  <si>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</si>
  <si>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</si>
  <si>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</si>
  <si>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</si>
  <si>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</si>
  <si>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</si>
  <si>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</si>
  <si>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</si>
  <si>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</si>
  <si>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</si>
  <si>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</si>
  <si>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</si>
  <si>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</si>
  <si>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</si>
  <si>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</si>
  <si>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</si>
  <si>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</si>
  <si>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</si>
  <si>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</si>
  <si>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</si>
  <si>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</si>
  <si>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</si>
  <si>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</si>
  <si>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</si>
  <si>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</si>
  <si>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</si>
  <si>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</si>
  <si>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</si>
  <si>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</si>
  <si>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</si>
  <si>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</si>
  <si>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</si>
  <si>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</si>
  <si>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</si>
  <si>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</si>
  <si>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</si>
  <si>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</si>
  <si>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</si>
  <si>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</si>
  <si>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</si>
  <si>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</si>
  <si>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</si>
  <si>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</si>
  <si>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</si>
  <si>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</si>
  <si>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</si>
  <si>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</si>
  <si>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</si>
  <si>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</si>
  <si>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</si>
  <si>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</si>
  <si>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</si>
  <si>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</si>
  <si>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</si>
  <si>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</si>
  <si>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</si>
  <si>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</si>
  <si>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</si>
  <si>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</si>
  <si>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</si>
  <si>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</si>
  <si>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</si>
  <si>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</si>
  <si>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</si>
  <si>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</si>
  <si>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</si>
  <si>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</si>
  <si>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</si>
  <si>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</si>
  <si>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</si>
  <si>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</si>
  <si>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</si>
  <si>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</si>
  <si>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</si>
  <si>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</si>
  <si>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</si>
  <si>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</si>
  <si>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</si>
  <si>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</si>
  <si>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</si>
  <si>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</si>
  <si>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</si>
  <si>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</si>
  <si>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</si>
  <si>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</si>
  <si>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</si>
  <si>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</si>
  <si>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</si>
  <si>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</si>
  <si>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</si>
  <si>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</si>
  <si>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</si>
  <si>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</si>
  <si>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</si>
  <si>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</si>
  <si>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</si>
  <si>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</si>
  <si>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</si>
  <si>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</si>
  <si>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</si>
  <si>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</si>
  <si>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</si>
  <si>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</si>
  <si>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</si>
  <si>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</si>
  <si>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</si>
  <si>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</si>
  <si>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</si>
  <si>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</si>
  <si>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</si>
  <si>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</si>
  <si>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</si>
  <si>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</si>
  <si>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</si>
  <si>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</si>
  <si>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</si>
  <si>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</si>
  <si>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</si>
  <si>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</si>
  <si>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</si>
  <si>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</si>
  <si>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</si>
  <si>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</si>
  <si>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</si>
  <si>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</si>
  <si>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</si>
  <si>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</si>
  <si>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</si>
  <si>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</si>
  <si>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</si>
  <si>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</si>
  <si>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</si>
  <si>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</si>
  <si>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</si>
  <si>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</si>
  <si>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</si>
  <si>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</si>
  <si>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</si>
  <si>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</si>
  <si>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</si>
  <si>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</si>
  <si>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</si>
  <si>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</si>
  <si>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</si>
  <si>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</si>
  <si>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</si>
  <si>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</si>
  <si>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</si>
  <si>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</si>
  <si>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</si>
  <si>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</si>
  <si>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</si>
  <si>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</si>
  <si>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</si>
  <si>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</si>
  <si>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</si>
  <si>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</si>
  <si>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</si>
  <si>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</si>
  <si>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</si>
  <si>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</si>
  <si>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</si>
  <si>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</si>
  <si>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</si>
  <si>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</si>
  <si>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</si>
  <si>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</si>
  <si>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</si>
  <si>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</si>
  <si>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</si>
  <si>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</si>
  <si>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</si>
  <si>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</si>
  <si>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</si>
  <si>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</si>
  <si>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</si>
  <si>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</si>
  <si>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</si>
  <si>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</si>
  <si>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</si>
  <si>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</si>
  <si>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</si>
  <si>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</si>
  <si>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</si>
  <si>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</si>
  <si>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</si>
  <si>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</si>
  <si>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</si>
  <si>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</si>
  <si>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</si>
  <si>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</si>
  <si>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</si>
  <si>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</si>
  <si>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</si>
  <si>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</si>
  <si>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</si>
  <si>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</si>
  <si>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</si>
  <si>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</si>
  <si>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</si>
  <si>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</si>
  <si>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</si>
  <si>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</si>
  <si>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</si>
  <si>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</si>
  <si>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</si>
  <si>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</si>
  <si>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</si>
  <si>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</si>
  <si>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</si>
  <si>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</si>
  <si>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</si>
  <si>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</si>
  <si>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</si>
  <si>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</si>
  <si>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</si>
  <si>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</si>
  <si>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</si>
  <si>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</si>
  <si>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</si>
  <si>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</si>
  <si>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</si>
  <si>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</si>
  <si>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</si>
  <si>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</si>
  <si>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</si>
  <si>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</si>
  <si>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</si>
  <si>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</si>
  <si>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</si>
  <si>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</si>
  <si>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</si>
  <si>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</si>
  <si>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</si>
  <si>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</si>
  <si>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</si>
  <si>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</si>
  <si>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</si>
  <si>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</si>
  <si>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</si>
  <si>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</si>
  <si>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</si>
  <si>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</si>
  <si>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</si>
  <si>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</si>
  <si>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</si>
  <si>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</si>
  <si>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</si>
  <si>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</si>
  <si>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</si>
  <si>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</si>
  <si>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</si>
  <si>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</si>
  <si>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</si>
  <si>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</si>
  <si>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</si>
  <si>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</si>
  <si>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</si>
  <si>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</si>
  <si>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</si>
  <si>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</si>
  <si>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</si>
  <si>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</si>
  <si>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</si>
  <si>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</si>
  <si>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</si>
  <si>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</si>
  <si>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</si>
  <si>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</si>
  <si>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</si>
  <si>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</si>
  <si>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</si>
  <si>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</si>
  <si>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</si>
  <si>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</si>
  <si>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</si>
  <si>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</si>
  <si>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</si>
  <si>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</si>
  <si>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</si>
  <si>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</si>
  <si>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</si>
  <si>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</si>
  <si>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</si>
  <si>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</si>
  <si>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</si>
  <si>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</si>
  <si>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</si>
  <si>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</si>
  <si>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</si>
  <si>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</si>
  <si>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</si>
  <si>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</si>
  <si>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</si>
  <si>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</si>
  <si>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</si>
  <si>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</si>
  <si>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</si>
  <si>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</si>
  <si>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</si>
  <si>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</si>
  <si>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</si>
  <si>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</si>
  <si>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</si>
  <si>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</si>
  <si>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</si>
  <si>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</si>
  <si>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</si>
  <si>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</si>
  <si>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</si>
  <si>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</si>
  <si>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</si>
  <si>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</si>
  <si>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</si>
  <si>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</si>
  <si>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</si>
  <si>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</si>
  <si>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</si>
  <si>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</si>
  <si>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</si>
  <si>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</si>
  <si>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</si>
  <si>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</si>
  <si>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</si>
  <si>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</si>
  <si>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</si>
  <si>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</si>
  <si>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</si>
  <si>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</si>
  <si>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</si>
  <si>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</si>
  <si>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</si>
  <si>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</si>
  <si>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</si>
  <si>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</si>
  <si>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</si>
  <si>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</si>
  <si>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</si>
  <si>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</si>
  <si>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</si>
  <si>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</si>
  <si>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</si>
  <si>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</si>
  <si>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</si>
  <si>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</si>
  <si>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</si>
  <si>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</si>
  <si>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</si>
  <si>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</si>
  <si>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</si>
  <si>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</si>
  <si>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</si>
  <si>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</si>
  <si>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</si>
  <si>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</si>
  <si>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</si>
  <si>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</si>
  <si>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</si>
  <si>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</si>
  <si>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</si>
  <si>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</si>
  <si>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</si>
  <si>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</si>
  <si>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</si>
  <si>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</si>
  <si>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</si>
  <si>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</si>
  <si>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</si>
  <si>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</si>
  <si>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</si>
  <si>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</si>
  <si>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</si>
  <si>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</si>
  <si>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</si>
  <si>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</si>
  <si>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</si>
  <si>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</si>
  <si>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</si>
  <si>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</si>
  <si>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</si>
  <si>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</si>
  <si>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</si>
  <si>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</si>
  <si>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</si>
  <si>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</si>
  <si>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</si>
  <si>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</si>
  <si>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</si>
  <si>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</si>
  <si>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</si>
  <si>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</si>
  <si>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</si>
  <si>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</si>
  <si>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</si>
  <si>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</si>
  <si>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</si>
  <si>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</si>
  <si>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</si>
  <si>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</si>
  <si>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</si>
  <si>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</si>
  <si>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</si>
  <si>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</si>
  <si>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</si>
  <si>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</si>
  <si>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</si>
  <si>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</si>
  <si>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</si>
  <si>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</si>
  <si>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</si>
  <si>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</si>
  <si>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</si>
  <si>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</si>
  <si>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</si>
  <si>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</si>
  <si>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</si>
  <si>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</si>
  <si>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</si>
  <si>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</si>
  <si>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</si>
  <si>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</si>
  <si>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</si>
  <si>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</si>
  <si>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</si>
  <si>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</si>
  <si>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</si>
  <si>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</si>
  <si>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</si>
  <si>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</si>
  <si>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</si>
  <si>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</si>
  <si>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</si>
  <si>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</si>
  <si>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</si>
  <si>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</si>
  <si>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</si>
  <si>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</si>
  <si>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</si>
  <si>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</si>
  <si>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</si>
  <si>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</si>
  <si>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</si>
  <si>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</si>
  <si>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</si>
  <si>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</si>
  <si>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</si>
  <si>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</si>
  <si>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</si>
  <si>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</si>
  <si>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</si>
  <si>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</si>
  <si>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</si>
  <si>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</si>
  <si>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</si>
  <si>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</si>
  <si>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</si>
  <si>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</si>
  <si>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</si>
  <si>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</si>
  <si>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</si>
  <si>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</si>
  <si>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</si>
  <si>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</si>
  <si>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</si>
  <si>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</si>
  <si>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</si>
  <si>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</si>
  <si>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</si>
  <si>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</si>
  <si>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</si>
  <si>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</si>
  <si>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</si>
  <si>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</si>
  <si>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</si>
  <si>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</si>
  <si>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</si>
  <si>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</si>
  <si>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</si>
  <si>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</si>
  <si>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</si>
  <si>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</si>
  <si>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</si>
  <si>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</si>
  <si>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</si>
  <si>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</si>
  <si>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</si>
  <si>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</si>
  <si>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</si>
  <si>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</si>
  <si>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</si>
  <si>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</si>
  <si>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</si>
  <si>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</si>
  <si>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</si>
  <si>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</si>
  <si>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</si>
  <si>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</si>
  <si>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</si>
  <si>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</si>
  <si>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</si>
  <si>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</si>
  <si>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</si>
  <si>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</si>
  <si>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</si>
  <si>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</si>
  <si>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</si>
  <si>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</si>
  <si>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</si>
  <si>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</si>
  <si>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</si>
  <si>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</si>
  <si>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</si>
  <si>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</si>
  <si>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</si>
  <si>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</si>
  <si>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</si>
  <si>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</si>
  <si>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</si>
  <si>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</si>
  <si>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</si>
  <si>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</si>
  <si>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</si>
  <si>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</si>
  <si>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</si>
  <si>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</si>
  <si>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</si>
  <si>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</si>
  <si>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</si>
  <si>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</si>
  <si>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</si>
  <si>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</si>
  <si>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</si>
  <si>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</si>
  <si>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</si>
  <si>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</si>
  <si>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</si>
  <si>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</si>
  <si>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</si>
  <si>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</si>
  <si>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</si>
  <si>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</si>
  <si>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</si>
  <si>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</si>
  <si>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</si>
  <si>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</si>
  <si>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</si>
  <si>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</si>
  <si>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</si>
  <si>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</si>
  <si>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</si>
  <si>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</si>
  <si>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</si>
  <si>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</si>
  <si>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</si>
  <si>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</si>
  <si>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</si>
  <si>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</si>
  <si>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</si>
  <si>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</si>
  <si>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</si>
  <si>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</si>
  <si>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</si>
  <si>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</si>
  <si>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</si>
  <si>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</si>
  <si>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</si>
  <si>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</si>
  <si>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</si>
  <si>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</si>
  <si>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</si>
  <si>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</si>
  <si>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</si>
  <si>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</si>
  <si>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</si>
  <si>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</si>
  <si>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</si>
  <si>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</si>
  <si>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</si>
  <si>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</si>
  <si>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</si>
  <si>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</si>
  <si>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</si>
  <si>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</si>
  <si>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</si>
  <si>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</si>
  <si>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</si>
  <si>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</si>
  <si>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</si>
  <si>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</si>
  <si>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</si>
  <si>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</si>
  <si>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</si>
  <si>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</si>
  <si>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</si>
  <si>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</si>
  <si>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</si>
  <si>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</si>
  <si>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</si>
  <si>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</si>
  <si>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</si>
  <si>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</si>
  <si>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</si>
  <si>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</si>
  <si>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</si>
  <si>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</si>
  <si>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</si>
  <si>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</si>
  <si>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</si>
  <si>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</si>
  <si>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</si>
  <si>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</si>
  <si>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</si>
  <si>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</si>
  <si>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</si>
  <si>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</si>
  <si>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</si>
  <si>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</si>
  <si>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</si>
  <si>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</si>
  <si>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</si>
  <si>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</si>
  <si>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</si>
  <si>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</si>
  <si>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</si>
  <si>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</si>
  <si>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</si>
  <si>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</si>
  <si>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</si>
  <si>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</si>
  <si>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</si>
  <si>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</si>
  <si>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</si>
  <si>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</si>
  <si>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</si>
  <si>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</si>
  <si>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</si>
  <si>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</si>
  <si>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</si>
  <si>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</si>
  <si>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</si>
  <si>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</si>
  <si>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</si>
  <si>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</si>
  <si>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</si>
  <si>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</si>
  <si>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</si>
  <si>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</si>
  <si>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</si>
  <si>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</si>
  <si>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</si>
  <si>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</si>
  <si>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</si>
  <si>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</si>
  <si>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</si>
  <si>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</si>
  <si>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</si>
  <si>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</si>
  <si>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</si>
  <si>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</si>
  <si>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</si>
  <si>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</si>
  <si>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</si>
  <si>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</si>
  <si>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</si>
  <si>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</si>
  <si>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</si>
  <si>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</si>
  <si>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</si>
  <si>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</si>
  <si>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</si>
  <si>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</si>
  <si>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</si>
  <si>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</si>
  <si>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</si>
  <si>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</si>
  <si>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</si>
  <si>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</si>
  <si>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</si>
  <si>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</si>
  <si>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</si>
  <si>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</si>
  <si>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</si>
  <si>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</si>
  <si>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</si>
  <si>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</si>
  <si>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</si>
  <si>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</si>
  <si>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</si>
  <si>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</si>
  <si>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</si>
  <si>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</si>
  <si>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</si>
  <si>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</si>
  <si>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</si>
  <si>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</si>
  <si>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</si>
  <si>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</si>
  <si>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</si>
  <si>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</si>
  <si>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</si>
  <si>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</si>
  <si>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</si>
  <si>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</si>
  <si>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</si>
  <si>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</si>
  <si>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</si>
  <si>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</si>
  <si>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</si>
  <si>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</si>
  <si>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</si>
  <si>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</si>
  <si>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</si>
  <si>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</si>
  <si>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</si>
  <si>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</si>
  <si>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</si>
  <si>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</si>
  <si>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</si>
  <si>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</si>
  <si>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</si>
  <si>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</si>
  <si>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</si>
  <si>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</si>
  <si>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</si>
  <si>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</si>
  <si>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</si>
  <si>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</si>
  <si>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</si>
  <si>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</si>
  <si>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</si>
  <si>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</si>
  <si>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</si>
  <si>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</si>
  <si>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</si>
  <si>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</si>
  <si>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</si>
  <si>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</si>
  <si>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</si>
  <si>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</si>
  <si>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</si>
  <si>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</si>
  <si>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</si>
  <si>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</si>
  <si>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</si>
  <si>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</si>
  <si>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</si>
  <si>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</si>
  <si>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</si>
  <si>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</si>
  <si>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</si>
  <si>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</si>
  <si>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</si>
  <si>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</si>
  <si>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</si>
  <si>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</si>
  <si>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</si>
  <si>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</si>
  <si>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</si>
  <si>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</si>
  <si>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</si>
  <si>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</si>
  <si>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</si>
  <si>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</si>
  <si>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</si>
  <si>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</si>
  <si>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</si>
  <si>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</si>
  <si>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</si>
  <si>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</si>
  <si>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</si>
  <si>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</si>
  <si>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</si>
  <si>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</si>
  <si>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</si>
  <si>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</si>
  <si>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</si>
  <si>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</si>
  <si>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</si>
  <si>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</si>
  <si>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</si>
  <si>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</si>
  <si>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</si>
  <si>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</si>
  <si>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</si>
  <si>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</si>
  <si>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</si>
  <si>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</si>
  <si>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</si>
  <si>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</si>
  <si>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</si>
  <si>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</si>
  <si>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</si>
  <si>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</si>
  <si>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</si>
  <si>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</si>
  <si>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</si>
  <si>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</si>
  <si>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</si>
  <si>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</si>
  <si>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</si>
  <si>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</si>
  <si>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</si>
  <si>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</si>
  <si>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</si>
  <si>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</si>
  <si>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</si>
  <si>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</si>
  <si>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</si>
  <si>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</si>
  <si>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</si>
  <si>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</si>
  <si>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</si>
  <si>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</si>
  <si>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</si>
  <si>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</si>
  <si>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</si>
  <si>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</si>
  <si>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</si>
  <si>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</si>
  <si>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</si>
  <si>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</si>
  <si>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</si>
  <si>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</si>
  <si>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</si>
  <si>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</si>
  <si>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</si>
  <si>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</si>
  <si>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</si>
  <si>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</si>
  <si>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</si>
  <si>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</si>
  <si>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</si>
  <si>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</si>
  <si>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</si>
  <si>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</si>
  <si>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</si>
  <si>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</si>
  <si>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</si>
  <si>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</si>
  <si>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</si>
  <si>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</si>
  <si>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</si>
  <si>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</si>
  <si>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</si>
  <si>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</si>
  <si>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</si>
  <si>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</si>
  <si>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</si>
  <si>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</si>
  <si>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</si>
  <si>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</si>
  <si>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</si>
  <si>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</si>
  <si>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</si>
  <si>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</si>
  <si>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</si>
  <si>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</si>
  <si>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</si>
  <si>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</si>
  <si>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</si>
  <si>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</si>
  <si>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</si>
  <si>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</si>
  <si>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</si>
  <si>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</si>
  <si>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</si>
  <si>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</si>
  <si>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</si>
  <si>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</si>
  <si>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</si>
  <si>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</si>
  <si>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</si>
  <si>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</si>
  <si>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</si>
  <si>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</si>
  <si>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</si>
  <si>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</si>
  <si>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</si>
  <si>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</si>
  <si>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</si>
  <si>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</si>
  <si>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</si>
  <si>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</si>
  <si>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</si>
  <si>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</si>
  <si>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</si>
  <si>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</si>
  <si>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</si>
  <si>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</si>
  <si>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</si>
  <si>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</si>
  <si>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</si>
  <si>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</si>
  <si>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</si>
  <si>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</si>
  <si>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</si>
  <si>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</si>
  <si>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</si>
  <si>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</si>
  <si>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</si>
  <si>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</si>
  <si>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</si>
  <si>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</si>
  <si>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</si>
  <si>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</si>
  <si>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</si>
  <si>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</si>
  <si>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</si>
  <si>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</si>
  <si>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</si>
  <si>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</si>
  <si>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</si>
  <si>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</si>
  <si>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</si>
  <si>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</si>
  <si>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</si>
  <si>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</si>
  <si>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</si>
  <si>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</si>
  <si>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</si>
  <si>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</si>
  <si>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</si>
  <si>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</si>
  <si>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</si>
  <si>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</si>
  <si>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</si>
  <si>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</si>
  <si>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</si>
  <si>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</si>
  <si>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</si>
  <si>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</si>
  <si>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</si>
  <si>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</si>
  <si>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</si>
  <si>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</si>
  <si>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</si>
  <si>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</si>
  <si>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</si>
  <si>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</si>
  <si>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</si>
  <si>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</si>
  <si>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</si>
  <si>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</si>
  <si>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</si>
  <si>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</si>
  <si>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</si>
  <si>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</si>
  <si>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</si>
  <si>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</si>
  <si>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</si>
  <si>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</si>
  <si>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</si>
  <si>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</si>
  <si>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</si>
  <si>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</si>
  <si>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</si>
  <si>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</si>
  <si>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</si>
  <si>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</si>
  <si>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</si>
  <si>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</si>
  <si>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</si>
  <si>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</si>
  <si>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</si>
  <si>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</si>
  <si>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</si>
  <si>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</si>
  <si>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</si>
  <si>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</si>
  <si>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</si>
  <si>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</si>
  <si>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</si>
  <si>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</si>
  <si>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</si>
  <si>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</si>
  <si>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</si>
  <si>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</si>
  <si>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</si>
  <si>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</si>
  <si>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</si>
  <si>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</si>
  <si>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</si>
  <si>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</si>
  <si>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</si>
  <si>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</si>
  <si>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</si>
  <si>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</si>
  <si>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</si>
  <si>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</si>
  <si>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</si>
  <si>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</si>
  <si>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</si>
  <si>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</si>
  <si>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</si>
  <si>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</si>
  <si>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</si>
  <si>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</si>
  <si>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</si>
  <si>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</si>
  <si>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</si>
  <si>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</si>
  <si>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</si>
  <si>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</si>
  <si>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</si>
  <si>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</si>
  <si>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</si>
  <si>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</si>
  <si>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</si>
  <si>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</si>
  <si>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</si>
  <si>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</si>
  <si>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</si>
  <si>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</si>
  <si>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</si>
  <si>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</si>
  <si>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</si>
  <si>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</si>
  <si>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</si>
  <si>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</si>
  <si>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</si>
  <si>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</si>
  <si>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</si>
  <si>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</si>
  <si>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</si>
  <si>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</si>
  <si>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</si>
  <si>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</si>
  <si>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</si>
  <si>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</si>
  <si>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</si>
  <si>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</si>
  <si>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</si>
  <si>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</si>
  <si>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</si>
  <si>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</si>
  <si>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</si>
  <si>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</si>
  <si>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</si>
  <si>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</si>
  <si>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</si>
  <si>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</si>
  <si>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</si>
  <si>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</si>
  <si>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</si>
  <si>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</si>
  <si>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</si>
  <si>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</si>
  <si>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</si>
  <si>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</si>
  <si>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</si>
  <si>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</si>
  <si>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</si>
  <si>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</si>
  <si>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</si>
  <si>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</si>
  <si>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</si>
  <si>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</si>
  <si>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</si>
  <si>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</si>
  <si>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</si>
  <si>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</si>
  <si>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</si>
  <si>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</si>
  <si>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</si>
  <si>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</si>
  <si>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</si>
  <si>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</si>
  <si>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</si>
  <si>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</si>
  <si>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</si>
  <si>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</si>
  <si>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</si>
  <si>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</si>
  <si>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</si>
  <si>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</si>
  <si>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</si>
  <si>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</si>
  <si>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</si>
  <si>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</si>
  <si>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</si>
  <si>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</si>
  <si>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</si>
  <si>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</si>
  <si>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</si>
  <si>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</si>
  <si>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</si>
  <si>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</si>
  <si>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</si>
  <si>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</si>
  <si>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</si>
  <si>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</si>
  <si>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</si>
  <si>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</si>
  <si>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</si>
  <si>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</si>
  <si>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</si>
  <si>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</si>
  <si>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</si>
  <si>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</si>
  <si>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</si>
  <si>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</si>
  <si>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</si>
  <si>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</si>
  <si>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</si>
  <si>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</si>
  <si>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</si>
  <si>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</si>
  <si>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</si>
  <si>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</si>
  <si>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</si>
  <si>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</si>
  <si>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</si>
  <si>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</si>
  <si>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</si>
  <si>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</si>
  <si>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</si>
  <si>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</si>
  <si>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</si>
  <si>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</si>
  <si>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</si>
  <si>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</si>
  <si>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</si>
  <si>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</si>
  <si>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</si>
  <si>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</si>
  <si>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</si>
  <si>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</si>
  <si>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</si>
  <si>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</si>
  <si>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</si>
  <si>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</si>
  <si>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</si>
  <si>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</si>
  <si>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</si>
  <si>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</si>
  <si>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</si>
  <si>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</si>
  <si>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</si>
  <si>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</si>
  <si>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</si>
  <si>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</si>
  <si>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</si>
  <si>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</si>
  <si>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</si>
  <si>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</si>
  <si>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</si>
  <si>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</si>
  <si>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</si>
  <si>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</si>
  <si>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</si>
  <si>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</si>
  <si>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</si>
  <si>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</si>
  <si>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</si>
  <si>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</si>
  <si>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</si>
  <si>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</si>
  <si>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</si>
  <si>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</si>
  <si>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</si>
  <si>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</si>
  <si>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</si>
  <si>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</si>
  <si>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</si>
  <si>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</si>
  <si>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</si>
  <si>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</si>
  <si>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</si>
  <si>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</si>
  <si>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</si>
  <si>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</si>
  <si>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</si>
  <si>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</si>
  <si>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</si>
  <si>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</si>
  <si>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</si>
  <si>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</si>
  <si>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</si>
  <si>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</si>
  <si>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</si>
  <si>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</si>
  <si>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</si>
  <si>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</si>
  <si>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</si>
  <si>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</si>
  <si>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</si>
  <si>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</si>
  <si>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</si>
  <si>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</si>
  <si>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</si>
  <si>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</si>
  <si>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</si>
  <si>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</si>
  <si>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</si>
  <si>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</si>
  <si>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</si>
  <si>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</si>
  <si>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</si>
  <si>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</si>
  <si>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</si>
  <si>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</si>
  <si>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</si>
  <si>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</si>
  <si>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</si>
  <si>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</si>
  <si>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</si>
  <si>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</si>
  <si>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</si>
  <si>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</si>
  <si>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</si>
  <si>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</si>
  <si>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</si>
  <si>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</si>
  <si>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</si>
  <si>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</si>
  <si>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</si>
  <si>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</si>
  <si>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</si>
  <si>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</si>
  <si>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</si>
  <si>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</si>
  <si>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</si>
  <si>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</si>
  <si>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</si>
  <si>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</si>
  <si>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</si>
  <si>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</si>
  <si>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</si>
  <si>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</si>
  <si>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</si>
  <si>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</si>
  <si>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</si>
  <si>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</si>
  <si>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</si>
  <si>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</si>
  <si>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</si>
  <si>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</si>
  <si>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</si>
  <si>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</si>
  <si>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</si>
  <si>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</si>
  <si>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</si>
  <si>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</si>
  <si>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</si>
  <si>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</si>
  <si>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</si>
  <si>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</si>
  <si>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</si>
  <si>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</si>
  <si>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</si>
  <si>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</si>
  <si>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</si>
  <si>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</si>
  <si>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</si>
  <si>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</si>
  <si>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</si>
  <si>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</si>
  <si>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</si>
  <si>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</si>
  <si>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</si>
  <si>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</si>
  <si>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</si>
  <si>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</si>
  <si>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</si>
  <si>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</si>
  <si>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</si>
  <si>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</si>
  <si>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</si>
  <si>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</si>
  <si>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</si>
  <si>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</si>
  <si>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</si>
  <si>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</si>
  <si>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</si>
  <si>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</si>
  <si>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</si>
  <si>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</si>
  <si>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</si>
  <si>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</si>
  <si>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</si>
  <si>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</si>
  <si>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</si>
  <si>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</si>
  <si>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</si>
  <si>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</si>
  <si>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</si>
  <si>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</si>
  <si>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</si>
  <si>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</si>
  <si>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</si>
  <si>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</si>
  <si>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</si>
  <si>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</si>
  <si>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</si>
  <si>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</si>
  <si>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</si>
  <si>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</si>
  <si>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</si>
  <si>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</si>
  <si>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</si>
  <si>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</si>
  <si>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</si>
  <si>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</si>
  <si>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</si>
  <si>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</si>
  <si>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</si>
  <si>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</si>
  <si>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</si>
  <si>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</si>
  <si>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</si>
  <si>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</si>
  <si>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</si>
  <si>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</si>
  <si>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</si>
  <si>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</si>
  <si>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</si>
  <si>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</si>
  <si>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</si>
  <si>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</si>
  <si>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</si>
  <si>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</si>
  <si>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</si>
  <si>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</si>
  <si>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</si>
  <si>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</si>
  <si>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</si>
  <si>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</si>
  <si>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</si>
  <si>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</si>
  <si>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</si>
  <si>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</si>
  <si>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</si>
  <si>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</si>
  <si>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</si>
  <si>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</si>
  <si>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</si>
  <si>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</si>
  <si>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</si>
  <si>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</si>
  <si>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</si>
  <si>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</si>
  <si>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</si>
  <si>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</si>
  <si>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</si>
  <si>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</si>
  <si>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</si>
  <si>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</si>
  <si>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</si>
  <si>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</si>
  <si>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</si>
  <si>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</si>
  <si>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</si>
  <si>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</si>
  <si>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</si>
  <si>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</si>
  <si>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</si>
  <si>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</si>
  <si>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</si>
  <si>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</si>
  <si>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</si>
  <si>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</si>
  <si>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</si>
  <si>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</si>
  <si>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</si>
  <si>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</si>
  <si>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</si>
  <si>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</si>
  <si>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</si>
  <si>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</si>
  <si>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</si>
  <si>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</si>
  <si>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</si>
  <si>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</si>
  <si>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</si>
  <si>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</si>
  <si>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</si>
  <si>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</si>
  <si>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</si>
  <si>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</si>
  <si>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</si>
  <si>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</si>
  <si>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</si>
  <si>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</si>
  <si>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</si>
  <si>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</si>
  <si>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</si>
  <si>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</si>
  <si>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</si>
  <si>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</si>
  <si>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</si>
  <si>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</si>
  <si>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</si>
  <si>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</si>
  <si>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</si>
  <si>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</si>
  <si>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</si>
  <si>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</si>
  <si>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</si>
  <si>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</si>
  <si>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</si>
  <si>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</si>
  <si>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</si>
  <si>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</si>
  <si>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</si>
  <si>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</si>
  <si>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</si>
  <si>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</si>
  <si>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</si>
  <si>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</si>
  <si>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</si>
  <si>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</si>
  <si>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</si>
  <si>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</si>
  <si>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</si>
  <si>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</si>
  <si>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</si>
  <si>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</si>
  <si>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</si>
  <si>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</si>
  <si>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</si>
  <si>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</si>
  <si>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</si>
  <si>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</si>
  <si>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</si>
  <si>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</si>
  <si>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</si>
  <si>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</si>
  <si>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</si>
  <si>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</si>
  <si>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</si>
  <si>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</si>
  <si>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</si>
  <si>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</si>
  <si>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</si>
  <si>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</si>
  <si>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</si>
  <si>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</si>
  <si>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</si>
  <si>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</si>
  <si>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</si>
  <si>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</si>
  <si>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</si>
  <si>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</si>
  <si>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</si>
  <si>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</si>
  <si>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</si>
  <si>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</si>
  <si>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</si>
  <si>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</si>
  <si>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</si>
  <si>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</si>
  <si>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</si>
  <si>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</si>
  <si>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</si>
  <si>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</si>
  <si>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</si>
  <si>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</si>
  <si>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</si>
  <si>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</si>
  <si>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</si>
  <si>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</si>
  <si>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</si>
  <si>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</si>
  <si>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</si>
  <si>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</si>
  <si>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</si>
  <si>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</si>
  <si>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</si>
  <si>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</si>
  <si>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</si>
  <si>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</si>
  <si>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</si>
  <si>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</si>
  <si>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</si>
  <si>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</si>
  <si>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</si>
  <si>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</si>
  <si>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</si>
  <si>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</si>
  <si>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</si>
  <si>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</si>
  <si>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</si>
  <si>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</si>
  <si>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</si>
  <si>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</si>
  <si>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</si>
  <si>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</si>
  <si>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</si>
  <si>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</si>
  <si>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</si>
  <si>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</si>
  <si>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</si>
  <si>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</si>
  <si>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</si>
  <si>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</si>
  <si>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</si>
  <si>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</si>
  <si>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</si>
  <si>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</si>
  <si>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</si>
  <si>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</si>
  <si>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</si>
  <si>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</si>
  <si>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</si>
  <si>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</si>
  <si>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</si>
  <si>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</si>
  <si>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</si>
  <si>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</si>
  <si>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</si>
  <si>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</si>
  <si>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</si>
  <si>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</si>
  <si>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</si>
  <si>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</si>
  <si>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</si>
  <si>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</si>
  <si>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</si>
  <si>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</si>
  <si>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</si>
  <si>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</si>
  <si>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</si>
  <si>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</si>
  <si>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</si>
  <si>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</si>
  <si>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</si>
  <si>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</si>
  <si>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</si>
  <si>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</si>
  <si>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</si>
  <si>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</si>
  <si>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</si>
  <si>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</si>
  <si>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</si>
  <si>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</si>
  <si>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</si>
  <si>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</si>
  <si>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</si>
  <si>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</si>
  <si>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</si>
  <si>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</si>
  <si>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</si>
  <si>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</si>
  <si>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</si>
  <si>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</si>
  <si>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</si>
  <si>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</si>
  <si>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</si>
  <si>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</si>
  <si>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</si>
  <si>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</si>
  <si>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</si>
  <si>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</si>
  <si>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</si>
  <si>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</si>
  <si>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</si>
  <si>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</si>
  <si>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</si>
  <si>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</si>
  <si>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</si>
  <si>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</si>
  <si>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</si>
  <si>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</si>
  <si>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</si>
  <si>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</si>
  <si>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</si>
  <si>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</si>
  <si>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</si>
  <si>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</si>
  <si>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</si>
  <si>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</si>
  <si>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</si>
  <si>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</si>
  <si>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</si>
  <si>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</si>
  <si>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</si>
  <si>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</si>
  <si>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</si>
  <si>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</si>
  <si>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</si>
  <si>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</si>
  <si>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</si>
  <si>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</si>
  <si>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</si>
  <si>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</si>
  <si>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</si>
  <si>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</si>
  <si>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</si>
  <si>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</si>
  <si>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</si>
  <si>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</si>
  <si>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</si>
  <si>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</si>
  <si>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</si>
  <si>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</si>
  <si>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</si>
  <si>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</si>
  <si>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</si>
  <si>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</si>
  <si>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</si>
  <si>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</si>
  <si>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</si>
  <si>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</si>
  <si>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</si>
  <si>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</si>
  <si>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</si>
  <si>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</si>
  <si>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</si>
  <si>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</si>
  <si>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</si>
  <si>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</si>
  <si>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</si>
  <si>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</si>
  <si>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</si>
  <si>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</si>
  <si>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</si>
  <si>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</si>
  <si>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</si>
  <si>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</si>
  <si>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</si>
  <si>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</si>
  <si>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</si>
  <si>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</si>
  <si>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</si>
  <si>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</si>
  <si>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</si>
  <si>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</si>
  <si>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</si>
  <si>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</si>
  <si>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</si>
  <si>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</si>
  <si>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</si>
  <si>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</si>
  <si>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</si>
  <si>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</si>
  <si>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</si>
  <si>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</si>
  <si>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</si>
  <si>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</si>
  <si>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</si>
  <si>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</si>
  <si>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</si>
  <si>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</si>
  <si>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</si>
  <si>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</si>
  <si>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</si>
  <si>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</si>
  <si>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</si>
  <si>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</si>
  <si>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</si>
  <si>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</si>
  <si>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</si>
  <si>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</si>
  <si>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</si>
  <si>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</si>
  <si>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</si>
  <si>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</si>
  <si>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</si>
  <si>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</si>
  <si>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</si>
  <si>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</si>
  <si>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</si>
  <si>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</si>
  <si>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</si>
  <si>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</si>
  <si>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</si>
  <si>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</si>
  <si>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</si>
  <si>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</si>
  <si>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</si>
  <si>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</si>
  <si>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</si>
  <si>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</si>
  <si>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</si>
  <si>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</si>
  <si>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</si>
  <si>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</si>
  <si>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</si>
  <si>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</si>
  <si>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</si>
  <si>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</si>
  <si>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</si>
  <si>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</si>
  <si>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</si>
  <si>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</si>
  <si>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</si>
  <si>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</si>
  <si>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</si>
  <si>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</si>
  <si>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</si>
  <si>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</si>
  <si>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</si>
  <si>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</si>
  <si>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</si>
  <si>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</si>
  <si>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</si>
  <si>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</si>
  <si>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</si>
  <si>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</si>
  <si>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</si>
  <si>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</si>
  <si>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</si>
  <si>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</si>
  <si>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</si>
  <si>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</si>
  <si>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</si>
  <si>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</si>
  <si>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</si>
  <si>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</si>
  <si>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</si>
  <si>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</si>
  <si>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</si>
  <si>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</si>
  <si>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</si>
  <si>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</si>
  <si>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</si>
  <si>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</si>
  <si>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</si>
  <si>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</si>
  <si>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</si>
  <si>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</si>
  <si>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</si>
  <si>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</si>
  <si>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</si>
  <si>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</si>
  <si>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</si>
  <si>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</si>
  <si>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</si>
  <si>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</si>
  <si>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</si>
  <si>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</si>
  <si>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</si>
  <si>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</si>
  <si>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</si>
  <si>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</si>
  <si>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</si>
  <si>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</si>
  <si>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</si>
  <si>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</si>
  <si>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</si>
  <si>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</si>
  <si>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</si>
  <si>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</si>
  <si>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</si>
  <si>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</si>
  <si>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</si>
  <si>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</si>
  <si>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</si>
  <si>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</si>
  <si>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</si>
  <si>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</si>
  <si>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</si>
  <si>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</si>
  <si>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</si>
  <si>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</si>
  <si>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</si>
  <si>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</si>
  <si>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</si>
  <si>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</si>
  <si>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</si>
  <si>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</si>
  <si>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</si>
  <si>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</si>
  <si>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</si>
  <si>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</si>
  <si>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</si>
  <si>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</si>
  <si>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</si>
  <si>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</si>
  <si>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</si>
  <si>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</si>
  <si>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</si>
  <si>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</si>
  <si>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</si>
  <si>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</si>
  <si>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</si>
  <si>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</si>
  <si>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</si>
  <si>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</si>
  <si>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</si>
  <si>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</si>
  <si>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</si>
  <si>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</si>
  <si>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</si>
  <si>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</si>
  <si>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</si>
  <si>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</si>
  <si>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</si>
  <si>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</si>
  <si>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</si>
  <si>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</si>
  <si>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</si>
  <si>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</si>
  <si>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</si>
  <si>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</si>
  <si>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</si>
  <si>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</si>
  <si>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</si>
  <si>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</si>
  <si>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</si>
  <si>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</si>
  <si>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</si>
  <si>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</si>
  <si>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</si>
  <si>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</si>
  <si>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</si>
  <si>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</si>
  <si>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</si>
  <si>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</si>
  <si>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</si>
  <si>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</si>
  <si>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</si>
  <si>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</si>
  <si>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</si>
  <si>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</si>
  <si>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</si>
  <si>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</si>
  <si>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</si>
  <si>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</si>
  <si>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</si>
  <si>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</si>
  <si>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</si>
  <si>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</si>
  <si>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</si>
  <si>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</si>
  <si>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</si>
  <si>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</si>
  <si>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</si>
  <si>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</si>
  <si>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</si>
  <si>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</si>
  <si>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</si>
  <si>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</si>
  <si>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</si>
  <si>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</si>
  <si>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</si>
  <si>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</si>
  <si>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</si>
  <si>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</si>
  <si>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</si>
  <si>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</si>
  <si>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</si>
  <si>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</si>
  <si>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</si>
  <si>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</si>
  <si>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</si>
  <si>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</si>
  <si>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</si>
  <si>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</si>
  <si>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</si>
  <si>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</si>
  <si>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</si>
  <si>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</si>
  <si>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</si>
  <si>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</si>
  <si>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</si>
  <si>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</si>
  <si>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</si>
  <si>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</si>
  <si>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</si>
  <si>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</si>
  <si>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</si>
  <si>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</si>
  <si>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</si>
  <si>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</si>
  <si>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</si>
  <si>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</si>
  <si>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</si>
  <si>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</si>
  <si>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</si>
  <si>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</si>
  <si>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</si>
  <si>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</si>
  <si>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</si>
  <si>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</si>
  <si>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</si>
  <si>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</si>
  <si>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</si>
  <si>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</si>
  <si>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</si>
  <si>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</si>
  <si>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</si>
  <si>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</si>
  <si>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</si>
  <si>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</si>
  <si>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</si>
  <si>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</si>
  <si>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</si>
  <si>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</si>
  <si>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</si>
  <si>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</si>
  <si>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</si>
  <si>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</si>
  <si>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</si>
  <si>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</si>
  <si>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</si>
  <si>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</si>
  <si>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</si>
  <si>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</si>
  <si>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</si>
  <si>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</si>
  <si>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</si>
  <si>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</si>
  <si>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</si>
  <si>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</si>
  <si>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</si>
  <si>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</si>
  <si>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</si>
  <si>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</si>
  <si>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</si>
  <si>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</si>
  <si>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</si>
  <si>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</si>
  <si>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</si>
  <si>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</si>
  <si>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</si>
  <si>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</si>
  <si>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</si>
  <si>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</si>
  <si>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</si>
  <si>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</si>
  <si>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</si>
  <si>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</si>
  <si>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</si>
  <si>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</si>
  <si>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</si>
  <si>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</si>
  <si>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</si>
  <si>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</si>
  <si>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</si>
  <si>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</si>
  <si>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</si>
  <si>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</si>
  <si>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</si>
  <si>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</si>
  <si>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</si>
  <si>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</si>
  <si>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</si>
  <si>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</si>
  <si>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</si>
  <si>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</si>
  <si>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</si>
  <si>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</si>
  <si>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</si>
  <si>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</si>
  <si>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</si>
  <si>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</si>
  <si>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</si>
  <si>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</si>
  <si>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</si>
  <si>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</si>
  <si>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</si>
  <si>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</si>
  <si>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</si>
  <si>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</si>
  <si>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</si>
  <si>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</si>
  <si>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</si>
  <si>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</si>
  <si>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</si>
  <si>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</si>
  <si>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</si>
  <si>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</si>
  <si>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</si>
  <si>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</si>
  <si>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</si>
  <si>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</si>
  <si>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</si>
  <si>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</si>
  <si>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</si>
  <si>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</si>
  <si>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</si>
  <si>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</si>
  <si>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</si>
  <si>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</si>
  <si>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</si>
  <si>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</si>
  <si>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</si>
  <si>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</si>
  <si>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</si>
  <si>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</si>
  <si>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</si>
  <si>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</si>
  <si>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</si>
  <si>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</si>
  <si>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</si>
  <si>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</si>
  <si>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</si>
  <si>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</si>
  <si>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</si>
  <si>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</si>
  <si>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</si>
  <si>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</si>
  <si>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</si>
  <si>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</si>
  <si>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</si>
  <si>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</si>
  <si>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</si>
  <si>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</si>
  <si>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</si>
  <si>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</si>
  <si>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</si>
  <si>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</si>
  <si>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</si>
  <si>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</si>
  <si>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</si>
  <si>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</si>
  <si>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</si>
  <si>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</si>
  <si>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</si>
  <si>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</si>
  <si>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</si>
  <si>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</si>
  <si>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</si>
  <si>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</si>
  <si>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</si>
  <si>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</si>
  <si>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</si>
  <si>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</si>
  <si>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</si>
  <si>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</si>
  <si>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</si>
  <si>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</si>
  <si>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</si>
  <si>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</si>
  <si>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</si>
  <si>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</si>
  <si>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</si>
  <si>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</si>
  <si>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</si>
  <si>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</si>
  <si>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</si>
  <si>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</si>
  <si>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</si>
  <si>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</si>
  <si>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</si>
  <si>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</si>
  <si>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</si>
  <si>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</si>
  <si>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</si>
  <si>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</si>
  <si>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</si>
  <si>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</si>
  <si>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</si>
  <si>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</si>
  <si>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</si>
  <si>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</si>
  <si>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</si>
  <si>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</si>
  <si>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</si>
  <si>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</si>
  <si>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</si>
  <si>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</si>
  <si>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</si>
  <si>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</si>
  <si>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</si>
  <si>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</si>
  <si>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</si>
  <si>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</si>
  <si>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</si>
  <si>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</si>
  <si>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</si>
  <si>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</si>
  <si>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</si>
  <si>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</si>
  <si>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</si>
  <si>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</si>
  <si>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</si>
  <si>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</si>
  <si>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</si>
  <si>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</si>
  <si>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</si>
  <si>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</si>
  <si>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</si>
  <si>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</si>
  <si>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</si>
  <si>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</si>
  <si>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</si>
  <si>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</si>
  <si>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</si>
  <si>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</si>
  <si>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</si>
  <si>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</si>
  <si>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</si>
  <si>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</si>
  <si>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</si>
  <si>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</si>
  <si>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</si>
  <si>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</si>
  <si>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</si>
  <si>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</si>
  <si>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</si>
  <si>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</si>
  <si>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</si>
  <si>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</si>
  <si>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</si>
  <si>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</si>
  <si>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</si>
  <si>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</si>
  <si>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</si>
  <si>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</si>
  <si>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</si>
  <si>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</si>
  <si>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</si>
  <si>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</si>
  <si>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</si>
  <si>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</si>
  <si>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</si>
  <si>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</si>
  <si>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</si>
  <si>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</si>
  <si>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</si>
  <si>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</si>
  <si>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</si>
  <si>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</si>
  <si>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</si>
  <si>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</si>
  <si>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</si>
  <si>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</si>
  <si>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</si>
  <si>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</si>
  <si>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</si>
  <si>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</si>
  <si>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</si>
  <si>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</si>
  <si>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</si>
  <si>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</si>
  <si>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</si>
  <si>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</si>
  <si>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</si>
  <si>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</si>
  <si>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</si>
  <si>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</si>
  <si>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</si>
  <si>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</si>
  <si>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</si>
  <si>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</si>
  <si>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</si>
  <si>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</si>
  <si>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</si>
  <si>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</si>
  <si>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</si>
  <si>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</si>
  <si>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</si>
  <si>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</si>
  <si>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</si>
  <si>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</si>
  <si>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</si>
  <si>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</si>
  <si>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</si>
  <si>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</si>
  <si>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</si>
  <si>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</si>
  <si>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</si>
  <si>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</si>
  <si>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</si>
  <si>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</si>
  <si>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</si>
  <si>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</si>
  <si>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</si>
  <si>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</si>
  <si>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</si>
  <si>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</si>
  <si>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</si>
  <si>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</si>
  <si>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</si>
  <si>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</si>
  <si>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</si>
  <si>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</si>
  <si>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</si>
  <si>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</si>
  <si>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</si>
  <si>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</si>
  <si>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</si>
  <si>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</si>
  <si>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</si>
  <si>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</si>
  <si>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</si>
  <si>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</si>
  <si>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</si>
  <si>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</si>
  <si>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</si>
  <si>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</si>
  <si>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</si>
  <si>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</si>
  <si>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</si>
  <si>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</si>
  <si>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</si>
  <si>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</si>
  <si>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</si>
  <si>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</si>
  <si>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</si>
  <si>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</si>
  <si>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</si>
  <si>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</si>
  <si>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</si>
  <si>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</si>
  <si>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</si>
  <si>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</si>
  <si>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</si>
  <si>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</si>
  <si>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</si>
  <si>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</si>
  <si>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</si>
  <si>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</si>
  <si>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</si>
  <si>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</si>
  <si>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</si>
  <si>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</si>
  <si>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</si>
  <si>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</si>
  <si>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</si>
  <si>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</si>
  <si>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</si>
  <si>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</si>
  <si>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</si>
  <si>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</si>
  <si>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</si>
  <si>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</si>
  <si>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</si>
  <si>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</si>
  <si>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</si>
  <si>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</si>
  <si>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</si>
  <si>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</si>
  <si>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</si>
  <si>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</si>
  <si>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</si>
  <si>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</si>
  <si>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</si>
  <si>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</si>
  <si>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</si>
  <si>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</si>
  <si>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</si>
  <si>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</si>
  <si>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</si>
  <si>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</si>
  <si>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</si>
  <si>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</si>
  <si>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</si>
  <si>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</si>
  <si>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</si>
  <si>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</si>
  <si>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</si>
  <si>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</si>
  <si>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</si>
  <si>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</si>
  <si>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</si>
  <si>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</si>
  <si>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</si>
  <si>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</si>
  <si>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</si>
  <si>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</si>
  <si>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</si>
  <si>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</si>
  <si>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</si>
  <si>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</si>
  <si>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</si>
  <si>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</si>
  <si>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</si>
  <si>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</si>
  <si>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</si>
  <si>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</si>
  <si>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</si>
  <si>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</si>
  <si>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</si>
  <si>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</si>
  <si>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</si>
  <si>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</si>
  <si>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</si>
  <si>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</si>
  <si>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</si>
  <si>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</si>
  <si>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</si>
  <si>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</si>
  <si>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</si>
  <si>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</si>
  <si>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</si>
  <si>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</si>
  <si>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</si>
  <si>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</si>
  <si>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</si>
  <si>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</si>
  <si>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</si>
  <si>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</si>
  <si>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</si>
  <si>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</si>
  <si>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</si>
  <si>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</si>
  <si>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</si>
  <si>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</si>
  <si>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</si>
  <si>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</si>
  <si>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</si>
  <si>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</si>
  <si>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</si>
  <si>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</si>
  <si>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</si>
  <si>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</si>
  <si>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</si>
  <si>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</si>
  <si>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</si>
  <si>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</si>
  <si>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</si>
  <si>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</si>
  <si>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</si>
  <si>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</si>
  <si>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</si>
  <si>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</si>
  <si>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</si>
  <si>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</si>
  <si>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</si>
  <si>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</si>
  <si>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</si>
  <si>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</si>
  <si>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</si>
  <si>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</si>
  <si>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</si>
  <si>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</si>
  <si>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</si>
  <si>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</si>
  <si>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</si>
  <si>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</si>
  <si>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</si>
  <si>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</si>
  <si>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</si>
  <si>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</si>
  <si>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</si>
  <si>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</si>
  <si>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</si>
  <si>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</si>
  <si>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</si>
  <si>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</si>
  <si>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</si>
  <si>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</si>
  <si>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</si>
  <si>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</si>
  <si>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</si>
  <si>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</si>
  <si>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</si>
  <si>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</si>
  <si>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</si>
  <si>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</si>
  <si>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</si>
  <si>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</si>
  <si>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</si>
  <si>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</si>
  <si>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</si>
  <si>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</si>
  <si>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</si>
  <si>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</si>
  <si>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</si>
  <si>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</si>
  <si>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</si>
  <si>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</si>
  <si>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</si>
  <si>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</si>
  <si>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</si>
  <si>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</si>
  <si>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</si>
  <si>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</si>
  <si>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</si>
  <si>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</si>
  <si>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</si>
  <si>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</si>
  <si>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</si>
  <si>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</si>
  <si>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</si>
  <si>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</si>
  <si>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</si>
  <si>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</si>
  <si>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</si>
  <si>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</si>
  <si>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</si>
  <si>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</si>
  <si>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</si>
  <si>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</si>
  <si>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</si>
  <si>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</si>
  <si>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</si>
  <si>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</si>
  <si>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</si>
  <si>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</si>
  <si>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</si>
  <si>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</si>
  <si>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</si>
  <si>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</si>
  <si>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</si>
  <si>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</si>
  <si>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</si>
  <si>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</si>
  <si>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</si>
  <si>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</si>
  <si>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</si>
  <si>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</si>
  <si>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</si>
  <si>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</si>
  <si>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</si>
  <si>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</si>
  <si>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</si>
  <si>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</si>
  <si>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</si>
  <si>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</si>
  <si>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</si>
  <si>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</si>
  <si>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</si>
  <si>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</si>
  <si>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</si>
  <si>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</si>
  <si>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</si>
  <si>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</si>
  <si>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</si>
  <si>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</si>
  <si>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</si>
  <si>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</si>
  <si>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</si>
  <si>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</si>
  <si>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</si>
  <si>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</si>
  <si>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</si>
  <si>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</si>
  <si>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</si>
  <si>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</si>
  <si>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</si>
  <si>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</si>
  <si>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</si>
  <si>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</si>
  <si>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</si>
  <si>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</si>
  <si>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</si>
  <si>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</si>
  <si>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</si>
  <si>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</si>
  <si>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</si>
  <si>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</si>
  <si>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</si>
  <si>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</si>
  <si>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</si>
  <si>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</si>
  <si>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</si>
  <si>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</si>
  <si>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</si>
  <si>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</si>
  <si>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</si>
  <si>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</si>
  <si>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</si>
  <si>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</si>
  <si>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</si>
  <si>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</si>
  <si>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</si>
  <si>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</si>
  <si>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</si>
  <si>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</si>
  <si>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</si>
  <si>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</si>
  <si>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</si>
  <si>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</si>
  <si>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</si>
  <si>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</si>
  <si>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</si>
  <si>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</si>
  <si>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</si>
  <si>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</si>
  <si>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</si>
  <si>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</si>
  <si>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</si>
  <si>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</si>
  <si>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</si>
  <si>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</si>
  <si>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</si>
  <si>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</si>
  <si>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</si>
  <si>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</si>
  <si>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</si>
  <si>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</si>
  <si>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</si>
  <si>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</si>
  <si>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</si>
  <si>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</si>
  <si>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</si>
  <si>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</si>
  <si>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</si>
  <si>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</si>
  <si>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</si>
  <si>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</si>
  <si>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</si>
  <si>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</si>
  <si>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</si>
  <si>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</si>
  <si>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</si>
  <si>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</si>
  <si>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</si>
  <si>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</si>
  <si>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</si>
  <si>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</si>
  <si>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</si>
  <si>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</si>
  <si>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</si>
  <si>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</si>
  <si>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</si>
  <si>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</si>
  <si>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</si>
  <si>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</si>
  <si>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</si>
  <si>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</si>
  <si>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</si>
  <si>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</si>
  <si>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</si>
  <si>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</si>
  <si>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</si>
  <si>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</si>
  <si>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</si>
  <si>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</si>
  <si>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</si>
  <si>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</si>
  <si>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</si>
  <si>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</si>
  <si>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</si>
  <si>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</si>
  <si>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</si>
  <si>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</si>
  <si>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</si>
  <si>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</si>
  <si>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</si>
  <si>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</si>
  <si>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</si>
  <si>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</si>
  <si>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</si>
  <si>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</si>
  <si>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</si>
  <si>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</si>
  <si>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</si>
  <si>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</si>
  <si>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</si>
  <si>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</si>
  <si>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</si>
  <si>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</si>
  <si>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</si>
  <si>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</si>
  <si>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</si>
  <si>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</si>
  <si>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</si>
  <si>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</si>
  <si>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</si>
  <si>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</si>
  <si>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</si>
  <si>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</si>
  <si>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</si>
  <si>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</si>
  <si>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</si>
  <si>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</si>
  <si>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</si>
  <si>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</si>
  <si>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</si>
  <si>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</si>
  <si>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</si>
  <si>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</si>
  <si>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</si>
  <si>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</si>
  <si>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</si>
  <si>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</si>
  <si>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</si>
  <si>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</si>
  <si>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</si>
  <si>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</si>
  <si>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</si>
  <si>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</si>
  <si>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</si>
  <si>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</si>
  <si>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</si>
  <si>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</si>
  <si>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</si>
  <si>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</si>
  <si>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</si>
  <si>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</si>
  <si>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</si>
  <si>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</si>
  <si>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</si>
  <si>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</si>
  <si>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</si>
  <si>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</si>
  <si>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</si>
  <si>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</si>
  <si>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</si>
  <si>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</si>
  <si>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</si>
  <si>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</si>
  <si>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</si>
  <si>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</si>
  <si>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</si>
  <si>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</si>
  <si>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</si>
  <si>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</si>
  <si>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</si>
  <si>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</si>
  <si>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</si>
  <si>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</si>
  <si>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</si>
  <si>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</si>
  <si>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</si>
  <si>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</si>
  <si>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</si>
  <si>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</si>
  <si>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</si>
  <si>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</si>
  <si>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</si>
  <si>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</si>
  <si>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</si>
  <si>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</si>
  <si>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</si>
  <si>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</si>
  <si>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</si>
  <si>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</si>
  <si>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</si>
  <si>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</si>
  <si>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</si>
  <si>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</si>
  <si>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</si>
  <si>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</si>
  <si>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</si>
  <si>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</si>
  <si>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</si>
  <si>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</si>
  <si>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</si>
  <si>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</si>
  <si>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</si>
  <si>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</si>
  <si>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</si>
  <si>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</si>
  <si>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</si>
  <si>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</si>
  <si>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</si>
  <si>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</si>
  <si>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</si>
  <si>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</si>
  <si>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</si>
  <si>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</si>
  <si>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</si>
  <si>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</si>
  <si>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</si>
  <si>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</si>
  <si>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</si>
  <si>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</si>
  <si>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</si>
  <si>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</si>
  <si>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</si>
  <si>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</si>
  <si>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</si>
  <si>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</si>
  <si>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</si>
  <si>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</si>
  <si>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</si>
  <si>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</si>
  <si>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</si>
  <si>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</si>
  <si>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</si>
  <si>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</si>
  <si>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</si>
  <si>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</si>
  <si>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</si>
  <si>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</si>
  <si>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</si>
  <si>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</si>
  <si>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</si>
  <si>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</si>
  <si>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</si>
  <si>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</si>
  <si>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</si>
  <si>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</si>
  <si>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</si>
  <si>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</si>
  <si>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</si>
  <si>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</si>
  <si>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</si>
  <si>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</si>
  <si>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</si>
  <si>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</si>
  <si>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</si>
  <si>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</si>
  <si>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</si>
  <si>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</si>
  <si>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</si>
  <si>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</si>
  <si>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</si>
  <si>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</si>
  <si>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</si>
  <si>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</si>
  <si>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</si>
  <si>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</si>
  <si>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</si>
  <si>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</si>
  <si>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</si>
  <si>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</si>
  <si>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</si>
  <si>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</si>
  <si>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</si>
  <si>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</si>
  <si>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</si>
  <si>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</si>
  <si>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</si>
  <si>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</si>
  <si>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</si>
  <si>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</si>
  <si>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</si>
  <si>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</si>
  <si>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</si>
  <si>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</si>
  <si>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</si>
  <si>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</si>
  <si>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</si>
  <si>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</si>
  <si>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</si>
  <si>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</si>
  <si>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</si>
  <si>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</si>
  <si>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</si>
  <si>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</si>
  <si>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</si>
  <si>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</si>
  <si>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</si>
  <si>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</si>
  <si>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</si>
  <si>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</si>
  <si>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</si>
  <si>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</si>
  <si>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</si>
  <si>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</si>
  <si>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</si>
  <si>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</si>
  <si>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</si>
  <si>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</si>
  <si>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</si>
  <si>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</si>
  <si>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</si>
  <si>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</si>
  <si>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</si>
  <si>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</si>
  <si>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</si>
  <si>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</si>
  <si>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</si>
  <si>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</si>
  <si>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</si>
  <si>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</si>
  <si>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</si>
  <si>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</si>
  <si>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</si>
  <si>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</si>
  <si>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</si>
  <si>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</si>
  <si>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</si>
  <si>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</si>
  <si>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</si>
  <si>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</si>
  <si>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</si>
  <si>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</si>
  <si>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</si>
  <si>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</si>
  <si>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</si>
  <si>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</si>
  <si>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</si>
  <si>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</si>
  <si>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</si>
  <si>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</si>
  <si>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</si>
  <si>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</si>
  <si>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</si>
  <si>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</si>
  <si>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</si>
  <si>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</si>
  <si>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</si>
  <si>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</si>
  <si>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</si>
  <si>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</si>
  <si>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</si>
  <si>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</si>
  <si>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</si>
  <si>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</si>
  <si>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</si>
  <si>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</si>
  <si>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</si>
  <si>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</si>
  <si>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</si>
  <si>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</si>
  <si>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</si>
  <si>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</si>
  <si>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</si>
  <si>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</si>
  <si>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</si>
  <si>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</si>
  <si>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</si>
  <si>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</si>
  <si>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</si>
  <si>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</si>
  <si>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</si>
  <si>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</si>
  <si>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</si>
  <si>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</si>
  <si>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</si>
  <si>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</si>
  <si>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</si>
  <si>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</si>
  <si>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</si>
  <si>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</si>
  <si>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</si>
  <si>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</si>
  <si>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</si>
  <si>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</si>
  <si>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</si>
  <si>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</si>
  <si>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</si>
  <si>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</si>
  <si>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</si>
  <si>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</si>
  <si>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</si>
  <si>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</si>
  <si>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</si>
  <si>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</si>
  <si>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</si>
  <si>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</si>
  <si>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</si>
  <si>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</si>
  <si>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</si>
  <si>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</si>
  <si>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</si>
  <si>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</si>
  <si>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</si>
  <si>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</si>
  <si>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</si>
  <si>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</si>
  <si>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</si>
  <si>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</si>
  <si>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</si>
  <si>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</si>
  <si>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</si>
  <si>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</si>
  <si>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</si>
  <si>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</si>
  <si>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</si>
  <si>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</si>
  <si>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</si>
  <si>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</si>
  <si>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</si>
  <si>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</si>
  <si>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</si>
  <si>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</si>
  <si>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</si>
  <si>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</si>
  <si>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</si>
  <si>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</si>
  <si>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</si>
  <si>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</si>
  <si>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</si>
  <si>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</si>
  <si>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</si>
  <si>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</si>
  <si>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</si>
  <si>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</si>
  <si>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</si>
  <si>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</si>
  <si>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</si>
  <si>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</si>
  <si>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</si>
  <si>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</si>
  <si>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</si>
  <si>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</si>
  <si>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</si>
  <si>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</si>
  <si>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</si>
  <si>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</si>
  <si>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</si>
  <si>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</si>
  <si>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</si>
  <si>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</si>
  <si>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</si>
  <si>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</si>
  <si>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</si>
  <si>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</si>
  <si>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</si>
  <si>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</si>
  <si>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</si>
  <si>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</si>
  <si>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</si>
  <si>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</si>
  <si>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</si>
  <si>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</si>
  <si>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</si>
  <si>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</si>
  <si>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</si>
  <si>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</si>
  <si>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</si>
  <si>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</si>
  <si>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</si>
  <si>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</si>
  <si>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</si>
  <si>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</si>
  <si>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</si>
  <si>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</si>
  <si>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</si>
  <si>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</si>
  <si>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</si>
  <si>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</si>
  <si>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</si>
  <si>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</si>
  <si>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</si>
  <si>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</si>
  <si>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</si>
  <si>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</si>
  <si>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</si>
  <si>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</si>
  <si>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</si>
  <si>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</si>
  <si>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</si>
  <si>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</si>
  <si>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</si>
  <si>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</si>
  <si>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</si>
  <si>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</si>
  <si>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</si>
  <si>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</si>
  <si>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</si>
  <si>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</si>
  <si>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</si>
  <si>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</si>
  <si>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</si>
  <si>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</si>
  <si>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</si>
  <si>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</si>
  <si>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</si>
  <si>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</si>
  <si>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</si>
  <si>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</si>
  <si>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</si>
  <si>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</si>
  <si>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</si>
  <si>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</si>
  <si>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</si>
  <si>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</si>
  <si>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</si>
  <si>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</si>
  <si>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</si>
  <si>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</si>
  <si>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</si>
  <si>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</si>
  <si>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</si>
  <si>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</si>
  <si>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</si>
  <si>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</si>
  <si>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</si>
  <si>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</si>
  <si>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</si>
  <si>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</si>
  <si>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</si>
  <si>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</si>
  <si>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</si>
  <si>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</si>
  <si>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</si>
  <si>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</si>
  <si>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</si>
  <si>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</si>
  <si>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</si>
  <si>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</si>
  <si>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</si>
  <si>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</si>
  <si>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</si>
  <si>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</si>
  <si>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</si>
  <si>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</si>
  <si>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</si>
  <si>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</si>
  <si>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</si>
  <si>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</si>
  <si>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</si>
  <si>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</si>
  <si>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</si>
  <si>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</si>
  <si>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</si>
  <si>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</si>
  <si>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</si>
  <si>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</si>
  <si>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</si>
  <si>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</si>
  <si>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</si>
  <si>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</si>
  <si>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</si>
  <si>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</si>
  <si>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</si>
  <si>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</si>
  <si>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</si>
  <si>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</si>
  <si>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</si>
  <si>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</si>
  <si>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</si>
  <si>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</si>
  <si>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</si>
  <si>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</si>
  <si>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</si>
  <si>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</si>
  <si>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</si>
  <si>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</si>
  <si>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</si>
  <si>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</si>
  <si>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</si>
  <si>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</si>
  <si>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</si>
  <si>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</si>
  <si>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</si>
  <si>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</si>
  <si>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</si>
  <si>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</si>
  <si>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</si>
  <si>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</si>
  <si>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</si>
  <si>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</si>
  <si>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</si>
  <si>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</si>
  <si>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</si>
  <si>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</si>
  <si>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</si>
  <si>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</si>
  <si>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</si>
  <si>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</si>
  <si>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</si>
  <si>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</si>
  <si>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</si>
  <si>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</si>
  <si>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</si>
  <si>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</si>
  <si>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</si>
  <si>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</si>
  <si>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</si>
  <si>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</si>
  <si>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</si>
  <si>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</si>
  <si>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</si>
  <si>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</si>
  <si>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</si>
  <si>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</si>
  <si>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</si>
  <si>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</si>
  <si>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</si>
  <si>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</si>
  <si>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</si>
  <si>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</si>
  <si>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</si>
  <si>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</si>
  <si>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</si>
  <si>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</si>
  <si>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</si>
  <si>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</si>
  <si>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</si>
  <si>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</si>
  <si>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</si>
  <si>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</si>
  <si>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</si>
  <si>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</si>
  <si>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</si>
  <si>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</si>
  <si>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</si>
  <si>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</si>
  <si>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</si>
  <si>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</si>
  <si>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</si>
  <si>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</si>
  <si>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</si>
  <si>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</si>
  <si>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</si>
  <si>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</si>
  <si>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</si>
  <si>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</si>
  <si>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</si>
  <si>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</si>
  <si>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</si>
  <si>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</si>
  <si>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</si>
  <si>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</si>
  <si>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</si>
  <si>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</si>
  <si>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</si>
  <si>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</si>
  <si>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</si>
  <si>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</si>
  <si>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</si>
  <si>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</si>
  <si>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</si>
  <si>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</si>
  <si>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</si>
  <si>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</si>
  <si>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</si>
  <si>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</si>
  <si>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</si>
  <si>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</si>
  <si>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</si>
  <si>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</si>
  <si>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</si>
  <si>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</si>
  <si>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</si>
  <si>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</si>
  <si>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</si>
  <si>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</si>
  <si>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</si>
  <si>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</si>
  <si>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</si>
  <si>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</si>
  <si>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</si>
  <si>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</si>
  <si>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</si>
  <si>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</si>
  <si>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</si>
  <si>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</si>
  <si>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</si>
  <si>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</si>
  <si>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</si>
  <si>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</si>
  <si>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</si>
  <si>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</si>
  <si>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</si>
  <si>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</si>
  <si>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</si>
  <si>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</si>
  <si>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</si>
  <si>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</si>
  <si>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</si>
  <si>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</si>
  <si>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</si>
  <si>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</si>
  <si>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</si>
  <si>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</si>
  <si>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</si>
  <si>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</si>
  <si>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</si>
  <si>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</si>
  <si>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</si>
  <si>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</si>
  <si>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</si>
  <si>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</si>
  <si>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</si>
  <si>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</si>
  <si>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</si>
  <si>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</si>
  <si>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</si>
  <si>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</si>
  <si>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</si>
  <si>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</si>
  <si>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</si>
  <si>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</si>
  <si>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</si>
  <si>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</si>
  <si>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</si>
  <si>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</si>
  <si>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</si>
  <si>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</si>
  <si>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</si>
  <si>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</si>
  <si>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</si>
  <si>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</si>
  <si>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</si>
  <si>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</si>
  <si>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</si>
  <si>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</si>
  <si>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</si>
  <si>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</si>
  <si>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</si>
  <si>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</si>
  <si>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</si>
  <si>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</si>
  <si>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</si>
  <si>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</si>
  <si>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</si>
  <si>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</si>
  <si>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</si>
  <si>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</si>
  <si>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</si>
  <si>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</si>
  <si>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</si>
  <si>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</si>
  <si>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</si>
  <si>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</si>
  <si>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</si>
  <si>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</si>
  <si>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</si>
  <si>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</si>
  <si>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</si>
  <si>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</si>
  <si>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</si>
  <si>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</si>
  <si>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</si>
  <si>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</si>
  <si>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</si>
  <si>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</si>
  <si>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</si>
  <si>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</si>
  <si>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</si>
  <si>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</si>
  <si>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</si>
  <si>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</si>
  <si>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</si>
  <si>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</si>
  <si>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</si>
  <si>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</si>
  <si>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</si>
  <si>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</si>
  <si>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</si>
  <si>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</si>
  <si>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</si>
  <si>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</si>
  <si>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</si>
  <si>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</si>
  <si>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</si>
  <si>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</si>
  <si>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</si>
  <si>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</si>
  <si>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</si>
  <si>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</si>
  <si>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</si>
  <si>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</si>
  <si>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</si>
  <si>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</si>
  <si>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</si>
  <si>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</si>
  <si>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</si>
  <si>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</si>
  <si>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</si>
  <si>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</si>
  <si>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</si>
  <si>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</si>
  <si>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</si>
  <si>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</si>
  <si>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</si>
  <si>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</si>
  <si>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</si>
  <si>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</si>
  <si>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</si>
  <si>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</si>
  <si>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</si>
  <si>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</si>
  <si>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</si>
  <si>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</si>
  <si>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</si>
  <si>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</si>
  <si>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</si>
  <si>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</si>
  <si>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</si>
  <si>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</si>
  <si>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</si>
  <si>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</si>
  <si>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</si>
  <si>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</si>
  <si>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</si>
  <si>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</si>
  <si>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</si>
  <si>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</si>
  <si>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</si>
  <si>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</si>
  <si>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</si>
  <si>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</si>
  <si>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</si>
  <si>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</si>
  <si>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</si>
  <si>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</si>
  <si>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</si>
  <si>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</si>
  <si>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</si>
  <si>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</si>
  <si>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</si>
  <si>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</si>
  <si>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</si>
  <si>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</si>
  <si>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</si>
  <si>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</si>
  <si>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</si>
  <si>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</si>
  <si>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</si>
  <si>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</si>
  <si>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</si>
  <si>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</si>
  <si>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</si>
  <si>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</si>
  <si>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</si>
  <si>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</si>
  <si>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</si>
  <si>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</si>
  <si>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</si>
  <si>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</si>
  <si>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</si>
  <si>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</si>
  <si>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</si>
  <si>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</si>
  <si>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</si>
  <si>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</si>
  <si>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</si>
  <si>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</si>
  <si>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</si>
  <si>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</si>
  <si>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</si>
  <si>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</si>
  <si>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</si>
  <si>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</si>
  <si>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</si>
  <si>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</si>
  <si>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</si>
  <si>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</si>
  <si>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</si>
  <si>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</si>
  <si>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</si>
  <si>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</si>
  <si>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</si>
  <si>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</si>
  <si>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</si>
  <si>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</si>
  <si>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</si>
  <si>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</si>
  <si>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</si>
  <si>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</si>
  <si>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</si>
  <si>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</si>
  <si>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</si>
  <si>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</si>
  <si>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</si>
  <si>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</si>
  <si>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</si>
  <si>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</si>
  <si>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</si>
  <si>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</si>
  <si>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</si>
  <si>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</si>
  <si>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</si>
  <si>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</si>
  <si>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</si>
  <si>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</si>
  <si>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</si>
  <si>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</si>
  <si>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</si>
  <si>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</si>
  <si>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</si>
  <si>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</si>
  <si>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</si>
  <si>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</si>
  <si>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</si>
  <si>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</si>
  <si>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</si>
  <si>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</si>
  <si>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</si>
  <si>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</si>
  <si>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</si>
  <si>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</si>
  <si>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</si>
  <si>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</si>
  <si>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</si>
  <si>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</si>
  <si>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</si>
  <si>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</si>
  <si>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</si>
  <si>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</si>
  <si>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</si>
  <si>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</si>
  <si>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</si>
  <si>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</si>
  <si>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</si>
  <si>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</si>
  <si>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</si>
  <si>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</si>
  <si>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</si>
  <si>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</si>
  <si>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</si>
  <si>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</si>
  <si>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</si>
  <si>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</si>
  <si>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</si>
  <si>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</si>
  <si>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</si>
  <si>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</si>
  <si>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</si>
  <si>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</si>
  <si>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</si>
  <si>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</si>
  <si>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</si>
  <si>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</si>
  <si>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</si>
  <si>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</si>
  <si>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</si>
  <si>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</si>
  <si>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</si>
  <si>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</si>
  <si>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</si>
  <si>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</si>
  <si>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</si>
  <si>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</si>
  <si>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</si>
  <si>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</si>
  <si>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</si>
  <si>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</si>
  <si>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</si>
  <si>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</si>
  <si>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</si>
  <si>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</si>
  <si>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</si>
  <si>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</si>
  <si>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</si>
  <si>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</si>
  <si>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</si>
  <si>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</si>
  <si>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</si>
  <si>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</si>
  <si>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</si>
  <si>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</si>
  <si>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</si>
  <si>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</si>
  <si>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</si>
  <si>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</si>
  <si>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</si>
  <si>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</si>
  <si>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</si>
  <si>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</si>
  <si>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</si>
  <si>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</si>
  <si>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</si>
  <si>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</si>
  <si>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</si>
  <si>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</si>
  <si>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</si>
  <si>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</si>
  <si>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</si>
  <si>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</si>
  <si>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</si>
  <si>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</si>
  <si>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</si>
  <si>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</si>
  <si>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</si>
  <si>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</si>
  <si>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</si>
  <si>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</si>
  <si>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</si>
  <si>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</si>
  <si>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</si>
  <si>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</si>
  <si>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</si>
  <si>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</si>
  <si>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</si>
  <si>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</si>
  <si>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</si>
  <si>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</si>
  <si>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</si>
  <si>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</si>
  <si>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</si>
  <si>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</si>
  <si>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</si>
  <si>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</si>
  <si>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</si>
  <si>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</si>
  <si>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</si>
  <si>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</si>
  <si>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</si>
  <si>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</si>
  <si>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</si>
  <si>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</si>
  <si>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</si>
  <si>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</si>
  <si>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</si>
  <si>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</si>
  <si>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</si>
  <si>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</si>
  <si>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</si>
  <si>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</si>
  <si>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</si>
  <si>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</si>
  <si>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</si>
  <si>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</si>
  <si>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</si>
  <si>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</si>
  <si>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</si>
  <si>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</si>
  <si>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</si>
  <si>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</si>
  <si>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</si>
  <si>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</si>
  <si>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</si>
  <si>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</si>
  <si>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</si>
  <si>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</si>
  <si>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</si>
  <si>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</si>
  <si>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</si>
  <si>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</si>
  <si>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</si>
  <si>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</si>
  <si>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</si>
  <si>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</si>
  <si>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</si>
  <si>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</si>
  <si>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</si>
  <si>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</si>
  <si>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</si>
  <si>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</si>
  <si>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</si>
  <si>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</si>
  <si>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</si>
  <si>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</si>
  <si>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</si>
  <si>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</si>
  <si>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</si>
  <si>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</si>
  <si>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</si>
  <si>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</si>
  <si>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</si>
  <si>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</si>
  <si>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</si>
  <si>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</si>
  <si>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</si>
  <si>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</si>
  <si>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</si>
  <si>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</si>
  <si>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</si>
  <si>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</si>
  <si>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</si>
  <si>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</si>
  <si>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</si>
  <si>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</si>
  <si>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</si>
  <si>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</si>
  <si>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</si>
  <si>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</si>
  <si>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</si>
  <si>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</si>
  <si>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</si>
  <si>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</si>
  <si>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</si>
  <si>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</si>
  <si>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</si>
  <si>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</si>
  <si>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</si>
  <si>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</si>
  <si>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</si>
  <si>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</si>
  <si>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</si>
  <si>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</si>
  <si>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</si>
  <si>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</si>
  <si>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</si>
  <si>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</si>
  <si>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</si>
  <si>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</si>
  <si>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</si>
  <si>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</si>
  <si>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</si>
  <si>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</si>
  <si>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</si>
  <si>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</si>
  <si>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</si>
  <si>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</si>
  <si>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</si>
  <si>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</si>
  <si>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</si>
  <si>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</si>
  <si>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</si>
  <si>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</si>
  <si>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</si>
  <si>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</si>
  <si>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</si>
  <si>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</si>
  <si>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</si>
  <si>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</si>
  <si>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</si>
  <si>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</si>
  <si>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</si>
  <si>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</si>
  <si>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</si>
  <si>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</si>
  <si>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</si>
  <si>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</si>
  <si>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</si>
  <si>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</si>
  <si>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</si>
  <si>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</si>
  <si>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</si>
  <si>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</si>
  <si>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</si>
  <si>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</si>
  <si>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</si>
  <si>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</si>
  <si>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</si>
  <si>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</si>
  <si>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</si>
  <si>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</si>
  <si>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</si>
  <si>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</si>
  <si>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</si>
  <si>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</si>
  <si>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</si>
  <si>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</si>
  <si>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</si>
  <si>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</si>
  <si>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</si>
  <si>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</si>
  <si>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</si>
  <si>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</si>
  <si>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</si>
  <si>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</si>
  <si>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</si>
  <si>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</si>
  <si>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</si>
  <si>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</si>
  <si>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</si>
  <si>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</si>
  <si>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</si>
  <si>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</si>
  <si>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</si>
  <si>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</si>
  <si>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</si>
  <si>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</si>
  <si>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</si>
  <si>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</si>
  <si>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</si>
  <si>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</si>
  <si>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</si>
  <si>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</si>
  <si>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</si>
  <si>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</si>
  <si>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</si>
  <si>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</si>
  <si>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</si>
  <si>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</si>
  <si>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</si>
  <si>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</si>
  <si>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</si>
  <si>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</si>
  <si>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</si>
  <si>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</si>
  <si>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</si>
  <si>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</si>
  <si>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</si>
  <si>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</si>
  <si>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</si>
  <si>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</si>
  <si>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</si>
  <si>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</si>
  <si>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</si>
  <si>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</si>
  <si>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</si>
  <si>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</si>
  <si>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</si>
  <si>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</si>
  <si>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</si>
  <si>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</si>
  <si>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</si>
  <si>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</si>
  <si>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</si>
  <si>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</si>
  <si>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</si>
  <si>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</si>
  <si>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</si>
  <si>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</si>
  <si>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</si>
  <si>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</si>
  <si>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</si>
  <si>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</si>
  <si>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</si>
  <si>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</si>
  <si>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</si>
  <si>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</si>
  <si>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</si>
  <si>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</si>
  <si>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</si>
  <si>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</si>
  <si>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</si>
  <si>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</si>
  <si>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</si>
  <si>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</si>
  <si>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</si>
  <si>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</si>
  <si>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</si>
  <si>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</si>
  <si>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</si>
  <si>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</si>
  <si>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</si>
  <si>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</si>
  <si>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</si>
  <si>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</si>
  <si>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</si>
  <si>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</si>
  <si>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</si>
  <si>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</si>
  <si>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</si>
  <si>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</si>
  <si>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</si>
  <si>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</si>
  <si>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</si>
  <si>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</si>
  <si>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</si>
  <si>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</si>
  <si>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</si>
  <si>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</si>
  <si>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</si>
  <si>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</si>
  <si>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</si>
  <si>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</si>
  <si>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</si>
  <si>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</si>
  <si>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</si>
  <si>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</si>
  <si>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</si>
  <si>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</si>
  <si>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</si>
  <si>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</si>
  <si>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</si>
  <si>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</si>
  <si>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</si>
  <si>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</si>
  <si>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</si>
  <si>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</si>
  <si>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</si>
  <si>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</si>
  <si>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</si>
  <si>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</si>
  <si>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</si>
  <si>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</si>
  <si>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</si>
  <si>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</si>
  <si>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</si>
  <si>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</si>
  <si>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</si>
  <si>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</si>
  <si>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</si>
  <si>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</si>
  <si>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</si>
  <si>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</si>
  <si>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</si>
  <si>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</si>
  <si>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</si>
  <si>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</si>
  <si>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</si>
  <si>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</si>
  <si>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</si>
  <si>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</si>
  <si>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</si>
  <si>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</si>
  <si>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</si>
  <si>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</si>
  <si>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</si>
  <si>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</si>
  <si>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</si>
  <si>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</si>
  <si>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</si>
  <si>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</si>
  <si>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</si>
  <si>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</si>
  <si>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</si>
  <si>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</si>
  <si>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</si>
  <si>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</si>
  <si>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</si>
  <si>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</si>
  <si>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</si>
  <si>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</si>
  <si>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</si>
  <si>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</si>
  <si>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</si>
  <si>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</si>
  <si>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</si>
  <si>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</si>
  <si>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</si>
  <si>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</si>
  <si>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</si>
  <si>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</si>
  <si>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</si>
  <si>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</si>
  <si>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</si>
  <si>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</si>
  <si>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</si>
  <si>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</si>
  <si>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</si>
  <si>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</si>
  <si>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</si>
  <si>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</si>
  <si>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</si>
  <si>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</si>
  <si>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</si>
  <si>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</si>
  <si>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</si>
  <si>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</si>
  <si>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</si>
  <si>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</si>
  <si>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</si>
  <si>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</si>
  <si>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</si>
  <si>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</si>
  <si>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</si>
  <si>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</si>
  <si>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</si>
  <si>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</si>
  <si>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</si>
  <si>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</si>
  <si>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</si>
  <si>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</si>
  <si>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</si>
  <si>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</si>
  <si>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</si>
  <si>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</si>
  <si>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</si>
  <si>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</si>
  <si>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</si>
  <si>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</si>
  <si>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</si>
  <si>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</si>
  <si>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</si>
  <si>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</si>
  <si>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</si>
  <si>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</si>
  <si>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</si>
  <si>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</si>
  <si>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</si>
  <si>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</si>
  <si>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</si>
  <si>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</si>
  <si>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</si>
  <si>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</si>
  <si>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</si>
  <si>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</si>
  <si>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</si>
  <si>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</si>
  <si>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</si>
  <si>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</si>
  <si>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</si>
  <si>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</si>
  <si>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</si>
  <si>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</si>
  <si>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</si>
  <si>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</si>
  <si>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</si>
  <si>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</si>
  <si>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</si>
  <si>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</si>
  <si>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</si>
  <si>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</si>
  <si>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</si>
  <si>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</si>
  <si>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</si>
  <si>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</si>
  <si>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</si>
  <si>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</si>
  <si>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</si>
  <si>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</si>
  <si>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</si>
  <si>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</si>
  <si>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</si>
  <si>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</si>
  <si>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</si>
  <si>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</si>
  <si>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</si>
  <si>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</si>
  <si>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</si>
  <si>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</si>
  <si>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</si>
  <si>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</si>
  <si>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</si>
  <si>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</si>
  <si>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</si>
  <si>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</si>
  <si>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</si>
  <si>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</si>
  <si>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</si>
  <si>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</si>
  <si>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</si>
  <si>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</si>
  <si>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</si>
  <si>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</si>
  <si>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</si>
  <si>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</si>
  <si>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</si>
  <si>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</si>
  <si>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</si>
  <si>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</si>
  <si>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</si>
  <si>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</si>
  <si>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</si>
  <si>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</si>
  <si>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</si>
  <si>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</si>
  <si>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</si>
  <si>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</si>
  <si>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</si>
  <si>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</si>
  <si>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</si>
  <si>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</si>
  <si>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</si>
  <si>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</si>
  <si>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</si>
  <si>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</si>
  <si>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</si>
  <si>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</si>
  <si>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</si>
  <si>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</si>
  <si>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</si>
  <si>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</si>
  <si>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</si>
  <si>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</si>
  <si>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</si>
  <si>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</si>
  <si>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</si>
  <si>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</si>
  <si>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</si>
  <si>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</si>
  <si>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</si>
  <si>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</si>
  <si>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</si>
  <si>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</si>
  <si>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</si>
  <si>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</si>
  <si>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</si>
  <si>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</si>
  <si>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</si>
  <si>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</si>
  <si>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</si>
  <si>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</si>
  <si>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</si>
  <si>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</si>
  <si>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</si>
  <si>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</si>
  <si>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</si>
  <si>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</si>
  <si>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</si>
  <si>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</si>
  <si>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</si>
  <si>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</si>
  <si>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</si>
  <si>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</si>
  <si>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</si>
  <si>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</si>
  <si>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</si>
  <si>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</si>
  <si>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</si>
  <si>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</si>
  <si>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</si>
  <si>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</si>
  <si>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</si>
  <si>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</si>
  <si>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</si>
  <si>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</si>
  <si>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</si>
  <si>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</si>
  <si>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</si>
  <si>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</si>
  <si>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</si>
  <si>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</si>
  <si>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</si>
  <si>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</si>
  <si>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</si>
  <si>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</si>
  <si>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</si>
  <si>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</si>
  <si>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</si>
  <si>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</si>
  <si>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</si>
  <si>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</si>
  <si>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</si>
  <si>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</si>
  <si>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</si>
  <si>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</si>
  <si>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</si>
  <si>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</si>
  <si>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</si>
  <si>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</si>
  <si>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</si>
  <si>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</si>
  <si>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</si>
  <si>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</si>
  <si>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</si>
  <si>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</si>
  <si>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</si>
  <si>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</si>
  <si>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</si>
  <si>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</si>
  <si>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</si>
  <si>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</si>
  <si>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</si>
  <si>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</si>
  <si>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</si>
  <si>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</si>
  <si>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</si>
  <si>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</si>
  <si>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</si>
  <si>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</si>
  <si>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</si>
  <si>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</si>
  <si>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</si>
  <si>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</si>
  <si>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</si>
  <si>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</si>
  <si>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</si>
  <si>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</si>
  <si>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</si>
  <si>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</si>
  <si>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</si>
  <si>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</si>
  <si>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</si>
  <si>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</si>
  <si>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</si>
  <si>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</si>
  <si>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</si>
  <si>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</si>
  <si>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</si>
  <si>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</si>
  <si>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</si>
  <si>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</si>
  <si>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</si>
  <si>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</si>
  <si>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</si>
  <si>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</si>
  <si>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</si>
  <si>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</si>
  <si>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</si>
  <si>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</si>
  <si>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</si>
  <si>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</si>
  <si>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</si>
  <si>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</si>
  <si>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</si>
  <si>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</si>
  <si>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</si>
  <si>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</si>
  <si>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</si>
  <si>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</si>
  <si>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</si>
  <si>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</si>
  <si>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</si>
  <si>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</si>
  <si>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</si>
  <si>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</si>
  <si>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</si>
  <si>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</si>
  <si>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</si>
  <si>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</si>
  <si>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</si>
  <si>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</si>
  <si>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</si>
  <si>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</si>
  <si>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</si>
  <si>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</si>
  <si>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</si>
  <si>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</si>
  <si>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</si>
  <si>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</si>
  <si>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</si>
  <si>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</si>
  <si>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</si>
  <si>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</si>
  <si>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</si>
  <si>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</si>
  <si>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</si>
  <si>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</si>
  <si>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</si>
  <si>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</si>
  <si>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</si>
  <si>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</si>
  <si>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</si>
  <si>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</si>
  <si>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</si>
  <si>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</si>
  <si>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</si>
  <si>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</si>
  <si>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</si>
  <si>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</si>
  <si>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</si>
  <si>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</si>
  <si>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</si>
  <si>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</si>
  <si>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</si>
  <si>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</si>
  <si>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</si>
  <si>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</si>
  <si>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</si>
  <si>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</si>
  <si>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</si>
  <si>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</si>
  <si>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</si>
  <si>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</si>
  <si>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</si>
  <si>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</si>
  <si>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</si>
  <si>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</si>
  <si>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</si>
  <si>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</si>
  <si>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</si>
  <si>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</si>
  <si>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</si>
  <si>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</si>
  <si>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</si>
  <si>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</si>
  <si>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</si>
  <si>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</si>
  <si>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</si>
  <si>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</si>
  <si>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</si>
  <si>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</si>
  <si>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</si>
  <si>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</si>
  <si>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</si>
  <si>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</si>
  <si>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</si>
  <si>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</si>
  <si>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</si>
  <si>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</si>
  <si>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</si>
  <si>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</si>
  <si>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</si>
  <si>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</si>
  <si>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</si>
  <si>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</si>
  <si>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</si>
  <si>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</si>
  <si>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</si>
  <si>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</si>
  <si>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</si>
  <si>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</si>
  <si>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</si>
  <si>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</si>
  <si>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</si>
  <si>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</si>
  <si>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</si>
  <si>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</si>
  <si>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</si>
  <si>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</si>
  <si>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</si>
  <si>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</si>
  <si>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</si>
  <si>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</si>
  <si>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</si>
  <si>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</si>
  <si>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</si>
  <si>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</si>
  <si>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</si>
  <si>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</si>
  <si>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</si>
  <si>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</si>
  <si>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</si>
  <si>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</si>
  <si>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</si>
  <si>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</si>
  <si>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</si>
  <si>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</si>
  <si>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</si>
  <si>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</si>
  <si>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</si>
  <si>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</si>
  <si>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</si>
  <si>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</si>
  <si>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</si>
  <si>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</si>
  <si>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</si>
  <si>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</si>
  <si>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</si>
  <si>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</si>
  <si>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</si>
  <si>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</si>
  <si>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</si>
  <si>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</si>
  <si>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</si>
  <si>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</si>
  <si>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</si>
  <si>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</si>
  <si>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</si>
  <si>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</si>
  <si>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</si>
  <si>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</si>
  <si>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</si>
  <si>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</si>
  <si>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</si>
  <si>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</si>
  <si>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</si>
  <si>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</si>
  <si>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</si>
  <si>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</si>
  <si>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</si>
  <si>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</si>
  <si>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</si>
  <si>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</si>
  <si>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</si>
  <si>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</si>
  <si>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</si>
  <si>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</si>
  <si>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</si>
  <si>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</si>
  <si>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</si>
  <si>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</si>
  <si>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</si>
  <si>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</si>
  <si>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</si>
  <si>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</si>
  <si>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</si>
  <si>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</si>
  <si>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</si>
  <si>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</si>
  <si>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</si>
  <si>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</si>
  <si>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</si>
  <si>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</si>
  <si>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</si>
  <si>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</si>
  <si>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</si>
  <si>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</si>
  <si>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</si>
  <si>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</si>
  <si>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</si>
  <si>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</si>
  <si>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</si>
  <si>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</si>
  <si>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</si>
  <si>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</si>
  <si>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</si>
  <si>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</si>
  <si>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</si>
  <si>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</si>
  <si>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</si>
  <si>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</si>
  <si>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</si>
  <si>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</si>
  <si>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</si>
  <si>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</si>
  <si>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</si>
  <si>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</si>
  <si>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</si>
  <si>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</si>
  <si>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</si>
  <si>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</si>
  <si>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</si>
  <si>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</si>
  <si>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</si>
  <si>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</si>
  <si>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</si>
  <si>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</si>
  <si>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</si>
  <si>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</si>
  <si>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</si>
  <si>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</si>
  <si>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</si>
  <si>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</si>
  <si>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</si>
  <si>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</si>
  <si>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</si>
  <si>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</si>
  <si>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</si>
  <si>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</si>
  <si>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</si>
  <si>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</si>
  <si>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</si>
  <si>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</si>
  <si>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</si>
  <si>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</si>
  <si>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</si>
  <si>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</si>
  <si>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</si>
  <si>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</si>
  <si>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</si>
  <si>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</si>
  <si>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</si>
  <si>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</si>
  <si>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</si>
  <si>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</si>
  <si>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</si>
  <si>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</si>
  <si>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</si>
  <si>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</si>
  <si>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</si>
  <si>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</si>
  <si>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</si>
  <si>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</si>
  <si>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</si>
  <si>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</si>
  <si>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</si>
  <si>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</si>
  <si>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</si>
  <si>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</si>
  <si>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</si>
  <si>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</si>
  <si>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</si>
  <si>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</si>
  <si>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</si>
  <si>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</si>
  <si>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</si>
  <si>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</si>
  <si>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</si>
  <si>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</si>
  <si>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</si>
  <si>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</si>
  <si>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</si>
  <si>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</si>
  <si>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</si>
  <si>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</si>
  <si>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</si>
  <si>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</si>
  <si>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</si>
  <si>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</si>
  <si>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</si>
  <si>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</si>
  <si>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</si>
  <si>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</si>
  <si>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</si>
  <si>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</si>
  <si>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</si>
  <si>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</si>
  <si>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</si>
  <si>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</si>
  <si>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</si>
  <si>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</si>
  <si>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</si>
  <si>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</si>
  <si>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</si>
  <si>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</si>
  <si>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</si>
  <si>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</si>
  <si>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</si>
  <si>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</si>
  <si>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</si>
  <si>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</si>
  <si>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</si>
  <si>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</si>
  <si>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</si>
  <si>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</si>
  <si>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</si>
  <si>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</si>
  <si>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</si>
  <si>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</si>
  <si>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</si>
  <si>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</si>
  <si>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</si>
  <si>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</si>
  <si>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</si>
  <si>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</si>
  <si>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</si>
  <si>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</si>
  <si>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</si>
  <si>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</si>
  <si>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</si>
  <si>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</si>
  <si>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</si>
  <si>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</si>
  <si>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</si>
  <si>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</si>
  <si>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</si>
  <si>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</si>
  <si>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</si>
  <si>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</si>
  <si>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</si>
  <si>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</si>
  <si>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</si>
  <si>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</si>
  <si>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</si>
  <si>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</si>
  <si>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</si>
  <si>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</si>
  <si>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</si>
  <si>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</si>
  <si>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</si>
  <si>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</si>
  <si>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</si>
  <si>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</si>
  <si>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</si>
  <si>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</si>
  <si>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</si>
  <si>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</si>
  <si>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</si>
  <si>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</si>
  <si>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</si>
  <si>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</si>
  <si>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</si>
  <si>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</si>
  <si>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</si>
  <si>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</si>
  <si>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</si>
  <si>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</si>
  <si>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</si>
  <si>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</si>
  <si>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</si>
  <si>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</si>
  <si>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</si>
  <si>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</si>
  <si>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</si>
  <si>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</si>
  <si>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</si>
  <si>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</si>
  <si>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</si>
  <si>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</si>
  <si>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</si>
  <si>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</si>
  <si>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</si>
  <si>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</si>
  <si>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</si>
  <si>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</si>
  <si>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</si>
  <si>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</si>
  <si>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</si>
  <si>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</si>
  <si>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</si>
  <si>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</si>
  <si>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</si>
  <si>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</si>
  <si>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</si>
  <si>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</si>
  <si>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</si>
  <si>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</si>
  <si>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</si>
  <si>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</si>
  <si>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</si>
  <si>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</si>
  <si>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</si>
  <si>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</si>
  <si>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</si>
  <si>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</si>
  <si>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</si>
  <si>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</si>
  <si>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</si>
  <si>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</si>
  <si>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</si>
  <si>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</si>
  <si>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</si>
  <si>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</si>
  <si>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</si>
  <si>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</si>
  <si>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</si>
  <si>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</si>
  <si>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</si>
  <si>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</si>
  <si>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</si>
  <si>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</si>
  <si>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</si>
  <si>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</si>
  <si>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</si>
  <si>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</si>
  <si>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</si>
  <si>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</si>
  <si>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</si>
  <si>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</si>
  <si>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</si>
  <si>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</si>
  <si>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</si>
  <si>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</si>
  <si>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</si>
  <si>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</si>
  <si>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</si>
  <si>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</si>
  <si>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</si>
  <si>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</si>
  <si>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</si>
  <si>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</si>
  <si>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</si>
  <si>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</si>
  <si>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</si>
  <si>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</si>
  <si>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</si>
  <si>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</si>
  <si>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</si>
  <si>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</si>
  <si>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</si>
  <si>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</si>
  <si>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</si>
  <si>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</si>
  <si>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</si>
  <si>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</si>
  <si>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</si>
  <si>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</si>
  <si>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</si>
  <si>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</si>
  <si>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</si>
  <si>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</si>
  <si>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</si>
  <si>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</si>
  <si>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</si>
  <si>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</si>
  <si>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</si>
  <si>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</si>
  <si>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</si>
  <si>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</si>
  <si>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</si>
  <si>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</si>
  <si>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</si>
  <si>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</si>
  <si>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</si>
  <si>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</si>
  <si>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</si>
  <si>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</si>
  <si>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</si>
  <si>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</si>
  <si>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</si>
  <si>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</si>
  <si>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</si>
  <si>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</si>
  <si>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</si>
  <si>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</si>
  <si>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</si>
  <si>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</si>
  <si>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</si>
  <si>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</si>
  <si>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</si>
  <si>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</si>
  <si>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</si>
  <si>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</si>
  <si>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</si>
  <si>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</si>
  <si>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</si>
  <si>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</si>
  <si>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</si>
  <si>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</si>
  <si>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</si>
  <si>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</si>
  <si>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</si>
  <si>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</si>
  <si>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</si>
  <si>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</si>
  <si>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</si>
  <si>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</si>
  <si>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</si>
  <si>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</si>
  <si>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</si>
  <si>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</si>
  <si>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</si>
  <si>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</si>
  <si>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</si>
  <si>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</si>
  <si>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</si>
  <si>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</si>
  <si>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</si>
  <si>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</si>
  <si>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</si>
  <si>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</si>
  <si>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</si>
  <si>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</si>
  <si>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</si>
  <si>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</si>
  <si>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</si>
  <si>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</si>
  <si>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</si>
  <si>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</si>
  <si>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</si>
  <si>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</si>
  <si>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</si>
  <si>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</si>
  <si>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</si>
  <si>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</si>
  <si>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</si>
  <si>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</si>
  <si>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</si>
  <si>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</si>
  <si>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</si>
  <si>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</si>
  <si>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</si>
  <si>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</si>
  <si>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</si>
  <si>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</si>
  <si>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</si>
  <si>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</si>
  <si>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</si>
  <si>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</si>
  <si>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</si>
  <si>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</si>
  <si>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</si>
  <si>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</si>
  <si>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</si>
  <si>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</si>
  <si>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</si>
  <si>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</si>
  <si>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</si>
  <si>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</si>
  <si>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</si>
  <si>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</si>
  <si>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</si>
  <si>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</si>
  <si>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</si>
  <si>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</si>
  <si>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</si>
  <si>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</si>
  <si>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</si>
  <si>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</si>
  <si>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</si>
  <si>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</si>
  <si>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</si>
  <si>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</si>
  <si>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</si>
  <si>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</si>
  <si>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</si>
  <si>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</si>
  <si>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</si>
  <si>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</si>
  <si>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</si>
  <si>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</si>
  <si>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</si>
  <si>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</si>
  <si>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</si>
  <si>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</si>
  <si>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</si>
  <si>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</si>
  <si>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</si>
  <si>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</si>
  <si>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</si>
  <si>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</si>
  <si>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</si>
  <si>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</si>
  <si>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</si>
  <si>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</si>
  <si>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</si>
  <si>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</si>
  <si>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</si>
  <si>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</si>
  <si>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</si>
  <si>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</si>
  <si>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</si>
  <si>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</si>
  <si>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</si>
  <si>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</si>
  <si>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</si>
  <si>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</si>
  <si>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</si>
  <si>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</si>
  <si>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</si>
  <si>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</si>
  <si>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</si>
  <si>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</si>
  <si>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</si>
  <si>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</si>
  <si>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</si>
  <si>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</si>
  <si>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</si>
  <si>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</si>
  <si>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</si>
  <si>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</si>
  <si>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</si>
  <si>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</si>
  <si>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</si>
  <si>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</si>
  <si>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</si>
  <si>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</si>
  <si>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</si>
  <si>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</si>
  <si>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</si>
  <si>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</si>
  <si>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</si>
  <si>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</si>
  <si>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</si>
  <si>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</si>
  <si>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</si>
  <si>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</si>
  <si>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</si>
  <si>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</si>
  <si>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</si>
  <si>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</si>
  <si>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</si>
  <si>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</si>
  <si>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</si>
  <si>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</si>
  <si>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</si>
  <si>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</si>
  <si>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</si>
  <si>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</si>
  <si>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</si>
  <si>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</si>
  <si>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</si>
  <si>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</si>
  <si>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</si>
  <si>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</si>
  <si>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</si>
  <si>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</si>
  <si>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</si>
  <si>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</si>
  <si>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</si>
  <si>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</si>
  <si>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</si>
  <si>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</si>
  <si>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</si>
  <si>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</si>
  <si>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</si>
  <si>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</si>
  <si>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</si>
  <si>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</si>
  <si>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</si>
  <si>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</si>
  <si>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</si>
  <si>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</si>
  <si>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</si>
  <si>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</si>
  <si>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</si>
  <si>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</si>
  <si>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</si>
  <si>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</si>
  <si>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</si>
  <si>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</si>
  <si>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</si>
  <si>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</si>
  <si>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</si>
  <si>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</si>
  <si>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</si>
  <si>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</si>
  <si>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</si>
  <si>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</si>
  <si>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</si>
  <si>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</si>
  <si>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</si>
  <si>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</si>
  <si>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</si>
  <si>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</si>
  <si>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</si>
  <si>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</si>
  <si>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</si>
  <si>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</si>
  <si>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</si>
  <si>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</si>
  <si>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</si>
  <si>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</si>
  <si>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</si>
  <si>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</si>
  <si>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</si>
  <si>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</si>
  <si>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</si>
  <si>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</si>
  <si>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</si>
  <si>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</si>
  <si>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</si>
  <si>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</si>
  <si>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</si>
  <si>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</si>
  <si>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</si>
  <si>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</si>
  <si>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</si>
  <si>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</si>
  <si>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</si>
  <si>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</si>
  <si>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</si>
  <si>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</si>
  <si>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</si>
  <si>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</si>
  <si>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</si>
  <si>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</si>
  <si>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</si>
  <si>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</si>
  <si>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</si>
  <si>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</si>
  <si>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</si>
  <si>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</si>
  <si>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</si>
  <si>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</si>
  <si>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</si>
  <si>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</si>
  <si>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</si>
  <si>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</si>
  <si>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</si>
  <si>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</si>
  <si>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</si>
  <si>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</si>
  <si>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</si>
  <si>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</si>
  <si>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</si>
  <si>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</si>
  <si>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</si>
  <si>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</si>
  <si>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</si>
  <si>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</si>
  <si>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</si>
  <si>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</si>
  <si>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</si>
  <si>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</si>
  <si>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</si>
  <si>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</si>
  <si>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</si>
  <si>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</si>
  <si>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</si>
  <si>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</si>
  <si>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</si>
  <si>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</si>
  <si>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</si>
  <si>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</si>
  <si>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</si>
  <si>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</si>
  <si>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</si>
  <si>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</si>
  <si>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</si>
  <si>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</si>
  <si>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</si>
  <si>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</si>
  <si>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</si>
  <si>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</si>
  <si>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</si>
  <si>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</si>
  <si>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</si>
  <si>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</si>
  <si>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</si>
  <si>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</si>
  <si>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</si>
  <si>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</si>
  <si>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</si>
  <si>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</si>
  <si>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</si>
  <si>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</si>
  <si>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</si>
  <si>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</si>
  <si>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</si>
  <si>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</si>
  <si>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</si>
  <si>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</si>
  <si>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</si>
  <si>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</si>
  <si>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</si>
  <si>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</si>
  <si>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</si>
  <si>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</si>
  <si>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</si>
  <si>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</si>
  <si>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</si>
  <si>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</si>
  <si>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</si>
  <si>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</si>
  <si>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</si>
  <si>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</si>
  <si>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</si>
  <si>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</si>
  <si>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</si>
  <si>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</si>
  <si>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</si>
  <si>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</si>
  <si>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</si>
  <si>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</si>
  <si>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</si>
  <si>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</si>
  <si>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</si>
  <si>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</si>
  <si>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</si>
  <si>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</si>
  <si>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</si>
  <si>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</si>
  <si>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</si>
  <si>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</si>
  <si>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</si>
  <si>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</si>
  <si>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</si>
  <si>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</si>
  <si>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</si>
  <si>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</si>
  <si>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</si>
  <si>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</si>
  <si>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</si>
  <si>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</si>
  <si>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</si>
  <si>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</si>
  <si>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</si>
  <si>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</si>
  <si>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</si>
  <si>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</si>
  <si>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</si>
  <si>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</si>
  <si>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</si>
  <si>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</si>
  <si>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</si>
  <si>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</si>
  <si>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</si>
  <si>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</si>
  <si>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</si>
  <si>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</si>
  <si>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</si>
  <si>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</si>
  <si>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</si>
  <si>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</si>
  <si>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</si>
  <si>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</si>
  <si>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</si>
  <si>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</si>
  <si>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</si>
  <si>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</si>
  <si>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</si>
  <si>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</si>
  <si>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</si>
  <si>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</si>
  <si>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</si>
  <si>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</si>
  <si>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</si>
  <si>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</si>
  <si>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</si>
  <si>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</si>
  <si>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</si>
  <si>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</si>
  <si>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</si>
  <si>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</si>
  <si>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</si>
  <si>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</si>
  <si>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</si>
  <si>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</si>
  <si>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</si>
  <si>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</si>
  <si>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</si>
  <si>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</si>
  <si>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</si>
  <si>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</si>
  <si>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</si>
  <si>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</si>
  <si>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</si>
  <si>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</si>
  <si>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</si>
  <si>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</si>
  <si>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</si>
  <si>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</si>
  <si>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</si>
  <si>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</si>
  <si>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</si>
  <si>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</si>
  <si>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</si>
  <si>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</si>
  <si>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</si>
  <si>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</si>
  <si>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</si>
  <si>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</si>
  <si>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</si>
  <si>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</si>
  <si>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</si>
  <si>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</si>
  <si>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</si>
  <si>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</si>
  <si>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</si>
  <si>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</si>
  <si>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</si>
  <si>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</si>
  <si>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</si>
  <si>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</si>
  <si>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</si>
  <si>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</si>
  <si>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</si>
  <si>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</si>
  <si>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</si>
  <si>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</si>
  <si>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</si>
  <si>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</si>
  <si>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</si>
  <si>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</si>
  <si>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</si>
  <si>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</si>
  <si>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</si>
  <si>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</si>
  <si>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</si>
  <si>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</si>
  <si>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</si>
  <si>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</si>
  <si>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</si>
  <si>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</si>
  <si>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</si>
  <si>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</si>
  <si>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</si>
  <si>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</si>
  <si>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</si>
  <si>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</si>
  <si>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</si>
  <si>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</si>
  <si>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</si>
  <si>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</si>
  <si>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</si>
  <si>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</si>
  <si>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</si>
  <si>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</si>
  <si>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</si>
  <si>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</si>
  <si>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</si>
  <si>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</si>
  <si>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</si>
  <si>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</si>
  <si>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</si>
  <si>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</si>
  <si>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</si>
  <si>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</si>
  <si>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</si>
  <si>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</si>
  <si>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</si>
  <si>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</si>
  <si>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</si>
  <si>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</si>
  <si>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</si>
  <si>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</si>
  <si>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</si>
  <si>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</si>
  <si>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</si>
  <si>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</si>
  <si>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</si>
  <si>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</si>
  <si>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</si>
  <si>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</si>
  <si>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</si>
  <si>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</si>
  <si>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</si>
  <si>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</si>
  <si>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</si>
  <si>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</si>
  <si>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</si>
  <si>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</si>
  <si>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</si>
  <si>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</si>
  <si>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</si>
  <si>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</si>
  <si>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</si>
  <si>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</si>
  <si>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</si>
  <si>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</si>
  <si>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</si>
  <si>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</si>
  <si>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</si>
  <si>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</si>
  <si>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</si>
  <si>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</si>
  <si>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</si>
  <si>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</si>
  <si>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</si>
  <si>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</si>
  <si>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</si>
  <si>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</si>
  <si>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</si>
  <si>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</si>
  <si>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</si>
  <si>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</si>
  <si>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</si>
  <si>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</si>
  <si>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</si>
  <si>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</si>
  <si>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</si>
  <si>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</si>
  <si>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</si>
  <si>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</si>
  <si>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</si>
  <si>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</si>
  <si>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</si>
  <si>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</si>
  <si>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</si>
  <si>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</si>
  <si>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</si>
  <si>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</si>
  <si>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</si>
  <si>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</si>
  <si>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</si>
  <si>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</si>
  <si>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</si>
  <si>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</si>
  <si>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</si>
  <si>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</si>
  <si>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</si>
  <si>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</si>
  <si>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</si>
  <si>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</si>
  <si>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</si>
  <si>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</si>
  <si>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</si>
  <si>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</si>
  <si>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</si>
  <si>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</si>
  <si>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</si>
  <si>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</si>
  <si>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</si>
  <si>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</si>
  <si>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</si>
  <si>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</si>
  <si>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</si>
  <si>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</si>
  <si>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</si>
  <si>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</si>
  <si>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</si>
  <si>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</si>
  <si>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</si>
  <si>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</si>
  <si>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</si>
  <si>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</si>
  <si>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</si>
  <si>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</si>
  <si>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</si>
  <si>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</si>
  <si>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</si>
  <si>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</si>
  <si>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</si>
  <si>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</si>
  <si>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</si>
  <si>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</si>
  <si>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</si>
  <si>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</si>
  <si>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</si>
  <si>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</si>
  <si>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</si>
  <si>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</si>
  <si>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</si>
  <si>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</si>
  <si>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</si>
  <si>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</si>
  <si>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</si>
  <si>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</si>
  <si>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</si>
  <si>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</si>
  <si>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</si>
  <si>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</si>
  <si>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</si>
  <si>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</si>
  <si>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</si>
  <si>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</si>
  <si>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</si>
  <si>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</si>
  <si>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</si>
  <si>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</si>
  <si>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</si>
  <si>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</si>
  <si>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</si>
  <si>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</si>
  <si>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</si>
  <si>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</si>
  <si>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</si>
  <si>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</si>
  <si>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</si>
  <si>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</si>
  <si>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</si>
  <si>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</si>
  <si>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</si>
  <si>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</si>
  <si>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</si>
  <si>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</si>
  <si>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</si>
  <si>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</si>
  <si>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</si>
  <si>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</si>
  <si>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</si>
  <si>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</si>
  <si>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</si>
  <si>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</si>
  <si>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</si>
  <si>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</si>
  <si>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</si>
  <si>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</si>
  <si>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</si>
  <si>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</si>
  <si>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</si>
  <si>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</si>
  <si>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</si>
  <si>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</si>
  <si>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</si>
  <si>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</si>
  <si>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</si>
  <si>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</si>
  <si>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</si>
  <si>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</si>
  <si>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</si>
  <si>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</si>
  <si>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</si>
  <si>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</si>
  <si>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</si>
  <si>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</si>
  <si>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</si>
  <si>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</si>
  <si>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</si>
  <si>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</si>
  <si>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</si>
  <si>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</si>
  <si>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</si>
  <si>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</si>
  <si>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</si>
  <si>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</si>
  <si>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</si>
  <si>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</si>
  <si>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</si>
  <si>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</si>
  <si>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</si>
  <si>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</si>
  <si>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</si>
  <si>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</si>
  <si>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</si>
  <si>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</si>
  <si>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</si>
  <si>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</si>
  <si>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</si>
  <si>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</si>
  <si>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</si>
  <si>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</si>
  <si>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</si>
  <si>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</si>
  <si>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</si>
  <si>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</si>
  <si>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</si>
  <si>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</si>
  <si>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</si>
  <si>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</si>
  <si>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</si>
  <si>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</si>
  <si>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</si>
  <si>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</si>
  <si>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</si>
  <si>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</si>
  <si>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</si>
  <si>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</si>
  <si>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</si>
  <si>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</si>
  <si>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</si>
  <si>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</si>
  <si>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</si>
  <si>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</si>
  <si>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</si>
  <si>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</si>
  <si>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</si>
  <si>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</si>
  <si>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</si>
  <si>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</si>
  <si>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</si>
  <si>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</si>
  <si>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</si>
  <si>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</si>
  <si>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</si>
  <si>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</si>
  <si>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</si>
  <si>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</si>
  <si>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</si>
  <si>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</si>
  <si>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</si>
  <si>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</si>
  <si>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</si>
  <si>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</si>
  <si>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</si>
  <si>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</si>
  <si>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</si>
  <si>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</si>
  <si>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</si>
  <si>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</si>
  <si>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</si>
  <si>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</si>
  <si>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</si>
  <si>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</si>
  <si>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</si>
  <si>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</si>
  <si>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</si>
  <si>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</si>
  <si>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</si>
  <si>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</si>
  <si>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</si>
  <si>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</si>
  <si>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</si>
  <si>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</si>
  <si>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</si>
  <si>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</si>
  <si>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</si>
  <si>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</si>
  <si>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</si>
  <si>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</si>
  <si>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</si>
  <si>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</si>
  <si>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</si>
  <si>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</si>
  <si>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</si>
  <si>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</si>
  <si>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</si>
  <si>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</si>
  <si>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</si>
  <si>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</si>
  <si>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</si>
  <si>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</si>
  <si>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</si>
  <si>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</si>
  <si>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</si>
  <si>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</si>
  <si>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</si>
  <si>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</si>
  <si>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</si>
  <si>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</si>
  <si>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</si>
  <si>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</si>
  <si>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</si>
  <si>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</si>
  <si>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</si>
  <si>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</si>
  <si>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</si>
  <si>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</si>
  <si>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</si>
  <si>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</si>
  <si>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</si>
  <si>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</si>
  <si>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</si>
  <si>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</si>
  <si>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</si>
  <si>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</si>
  <si>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</si>
  <si>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</si>
  <si>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</si>
  <si>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</si>
  <si>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</si>
  <si>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</si>
  <si>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</si>
  <si>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</si>
  <si>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</si>
  <si>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</si>
  <si>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</si>
  <si>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</si>
  <si>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</si>
  <si>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</si>
  <si>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</si>
  <si>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</si>
  <si>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</si>
  <si>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</si>
  <si>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</si>
  <si>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</si>
  <si>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</si>
  <si>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</si>
  <si>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</si>
  <si>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</si>
  <si>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</si>
  <si>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</si>
  <si>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</si>
  <si>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</si>
  <si>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</si>
  <si>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</si>
  <si>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</si>
  <si>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</si>
  <si>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</si>
  <si>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</si>
  <si>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</si>
  <si>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</si>
  <si>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</si>
  <si>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</si>
  <si>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</si>
  <si>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</si>
  <si>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</si>
  <si>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</si>
  <si>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</si>
  <si>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</si>
  <si>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</si>
  <si>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</si>
  <si>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</si>
  <si>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</si>
  <si>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</si>
  <si>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</si>
  <si>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</si>
  <si>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</si>
  <si>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</si>
  <si>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</si>
  <si>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</si>
  <si>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</si>
  <si>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</si>
  <si>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</si>
  <si>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</si>
  <si>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</si>
  <si>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</si>
  <si>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</si>
  <si>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</si>
  <si>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</si>
  <si>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</si>
  <si>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</si>
  <si>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</si>
  <si>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</si>
  <si>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</si>
  <si>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</si>
  <si>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</si>
  <si>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</si>
  <si>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</si>
  <si>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</si>
  <si>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</si>
  <si>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</si>
  <si>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</si>
  <si>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</si>
  <si>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</si>
  <si>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</si>
  <si>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</si>
  <si>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</si>
  <si>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</si>
  <si>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</si>
  <si>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</si>
  <si>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</si>
  <si>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</si>
  <si>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</si>
  <si>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</si>
  <si>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</si>
  <si>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</si>
  <si>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</si>
  <si>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</si>
  <si>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</si>
  <si>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</si>
  <si>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</si>
  <si>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</si>
  <si>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</si>
  <si>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</si>
  <si>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</si>
  <si>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</si>
  <si>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</si>
  <si>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</si>
  <si>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</si>
  <si>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</si>
  <si>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</si>
  <si>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</si>
  <si>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</si>
  <si>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</si>
  <si>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</si>
  <si>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</si>
  <si>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</si>
  <si>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</si>
  <si>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</si>
  <si>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</si>
  <si>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</si>
  <si>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</si>
  <si>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</si>
  <si>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</si>
  <si>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</si>
  <si>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</si>
  <si>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</si>
  <si>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</si>
  <si>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</si>
  <si>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</si>
  <si>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</si>
  <si>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</si>
  <si>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</si>
  <si>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</si>
  <si>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</si>
  <si>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</si>
  <si>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</si>
  <si>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</si>
  <si>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</si>
  <si>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</si>
  <si>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</si>
  <si>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</si>
  <si>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</si>
  <si>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</si>
  <si>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</si>
  <si>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</si>
  <si>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</si>
  <si>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</si>
  <si>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</si>
  <si>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</si>
  <si>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</si>
  <si>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</si>
  <si>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</si>
  <si>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</si>
  <si>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</si>
  <si>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</si>
  <si>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</si>
  <si>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</si>
  <si>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</si>
  <si>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</si>
  <si>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</si>
  <si>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</si>
  <si>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</si>
  <si>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</si>
  <si>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</si>
  <si>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</si>
  <si>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</si>
  <si>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</si>
  <si>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</si>
  <si>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</si>
  <si>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</si>
  <si>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</si>
  <si>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</si>
  <si>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</si>
  <si>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</si>
  <si>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</si>
  <si>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</si>
  <si>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</si>
  <si>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</si>
  <si>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</si>
  <si>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</si>
  <si>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</si>
  <si>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</si>
  <si>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</si>
  <si>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</si>
  <si>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</si>
  <si>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</si>
  <si>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</si>
  <si>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</si>
  <si>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</si>
  <si>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</si>
  <si>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</si>
  <si>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</si>
  <si>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</si>
  <si>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</si>
  <si>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</si>
  <si>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</si>
  <si>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</si>
  <si>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</si>
  <si>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</si>
  <si>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</si>
  <si>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</si>
  <si>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</si>
  <si>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</si>
  <si>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</si>
  <si>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</si>
  <si>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</si>
  <si>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</si>
  <si>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</si>
  <si>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</si>
  <si>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</si>
  <si>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</si>
  <si>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</si>
  <si>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</si>
  <si>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</si>
  <si>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</si>
  <si>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</si>
  <si>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</si>
  <si>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</si>
  <si>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</si>
  <si>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</si>
  <si>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</si>
  <si>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</si>
  <si>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</si>
  <si>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</si>
  <si>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</si>
  <si>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</si>
  <si>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</si>
  <si>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</si>
  <si>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</si>
  <si>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</si>
  <si>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</si>
  <si>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</si>
  <si>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</si>
  <si>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</si>
  <si>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</si>
  <si>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</si>
  <si>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</si>
  <si>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</si>
  <si>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</si>
  <si>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</si>
  <si>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</si>
  <si>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</si>
  <si>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</si>
  <si>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</si>
  <si>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</si>
  <si>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</si>
  <si>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</si>
  <si>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</si>
  <si>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</si>
  <si>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</si>
  <si>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</si>
  <si>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</si>
  <si>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</si>
  <si>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</si>
  <si>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</si>
  <si>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</si>
  <si>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</si>
  <si>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</si>
  <si>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</si>
  <si>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</si>
  <si>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</si>
  <si>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</si>
  <si>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</si>
  <si>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</si>
  <si>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</si>
  <si>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</si>
  <si>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</si>
  <si>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</si>
  <si>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</si>
  <si>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</si>
  <si>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</si>
  <si>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</si>
  <si>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</si>
  <si>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</si>
  <si>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</si>
  <si>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</si>
  <si>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</si>
  <si>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</si>
  <si>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</si>
  <si>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</si>
  <si>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</si>
  <si>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</si>
  <si>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</si>
  <si>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</si>
  <si>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</si>
  <si>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</si>
  <si>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</si>
  <si>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</si>
  <si>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</si>
  <si>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</si>
  <si>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</si>
  <si>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</si>
  <si>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</si>
  <si>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</si>
  <si>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</si>
  <si>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</si>
  <si>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</si>
  <si>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</si>
  <si>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</si>
  <si>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</si>
  <si>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</si>
  <si>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</si>
  <si>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</si>
  <si>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</si>
  <si>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</si>
  <si>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</si>
  <si>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</si>
  <si>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</si>
  <si>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</si>
  <si>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</si>
  <si>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</si>
  <si>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</si>
  <si>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</si>
  <si>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</si>
  <si>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</si>
  <si>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</si>
  <si>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</si>
  <si>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</si>
  <si>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</si>
  <si>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</si>
  <si>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</si>
  <si>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</si>
  <si>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</si>
  <si>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</si>
  <si>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</si>
  <si>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</si>
  <si>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</si>
  <si>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</si>
  <si>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</si>
  <si>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</si>
  <si>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</si>
  <si>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</si>
  <si>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</si>
  <si>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</si>
  <si>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</si>
  <si>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</si>
  <si>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</si>
  <si>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</si>
  <si>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</si>
  <si>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</si>
  <si>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</si>
  <si>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</si>
  <si>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</si>
  <si>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</si>
  <si>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</si>
  <si>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</si>
  <si>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</si>
  <si>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</si>
  <si>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</si>
  <si>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</si>
  <si>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</si>
  <si>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</si>
  <si>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</si>
  <si>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</si>
  <si>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</si>
  <si>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</si>
  <si>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</si>
  <si>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</si>
  <si>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</si>
  <si>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</si>
  <si>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</si>
  <si>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</si>
  <si>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</si>
  <si>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</si>
  <si>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</si>
  <si>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</si>
  <si>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</si>
  <si>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</si>
  <si>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</si>
  <si>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</si>
  <si>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</si>
  <si>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</si>
  <si>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</si>
  <si>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</si>
  <si>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</si>
  <si>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</si>
  <si>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</si>
  <si>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</si>
  <si>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</si>
  <si>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</si>
  <si>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</si>
  <si>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</si>
  <si>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</si>
  <si>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</si>
  <si>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</si>
  <si>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</si>
  <si>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</si>
  <si>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</si>
  <si>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</si>
  <si>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</si>
  <si>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</si>
  <si>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</si>
  <si>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</si>
  <si>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</si>
  <si>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</si>
  <si>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</si>
  <si>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</si>
  <si>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</si>
  <si>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</si>
  <si>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</si>
  <si>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</si>
  <si>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</si>
  <si>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</si>
  <si>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</si>
  <si>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</si>
  <si>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</si>
  <si>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</si>
  <si>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</si>
  <si>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</si>
  <si>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</si>
  <si>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</si>
  <si>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</si>
  <si>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</si>
  <si>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</si>
  <si>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</si>
  <si>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</si>
  <si>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</si>
  <si>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</si>
  <si>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</si>
  <si>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</si>
  <si>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</si>
  <si>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</si>
  <si>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</si>
  <si>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</si>
  <si>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</si>
  <si>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</si>
  <si>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</si>
  <si>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</si>
  <si>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</si>
  <si>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</si>
  <si>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</si>
  <si>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</si>
  <si>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</si>
  <si>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</si>
  <si>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</si>
  <si>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</si>
  <si>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</si>
  <si>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</si>
  <si>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</si>
  <si>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</si>
  <si>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</si>
  <si>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</si>
  <si>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</si>
  <si>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</si>
  <si>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</si>
  <si>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</si>
  <si>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</si>
  <si>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</si>
  <si>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</si>
  <si>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</si>
  <si>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</si>
  <si>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</si>
  <si>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</si>
  <si>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</si>
  <si>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</si>
  <si>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</si>
  <si>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</si>
  <si>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</si>
  <si>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</si>
  <si>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</si>
  <si>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</si>
  <si>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</si>
  <si>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</si>
  <si>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</si>
  <si>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</si>
  <si>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</si>
  <si>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</si>
  <si>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</si>
  <si>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</si>
  <si>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</si>
  <si>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</si>
  <si>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</si>
  <si>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</si>
  <si>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</si>
  <si>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</si>
  <si>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</si>
  <si>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</si>
  <si>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</si>
  <si>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</si>
  <si>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</si>
  <si>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</si>
  <si>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</si>
  <si>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</si>
  <si>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</si>
  <si>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</si>
  <si>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</si>
  <si>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</si>
  <si>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</si>
  <si>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</si>
  <si>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</si>
  <si>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</si>
  <si>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</si>
  <si>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</si>
  <si>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</si>
  <si>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</si>
  <si>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</si>
  <si>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</si>
  <si>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</si>
  <si>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</si>
  <si>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</si>
  <si>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</si>
  <si>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</si>
  <si>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</si>
  <si>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</si>
  <si>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</si>
  <si>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</si>
  <si>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</si>
  <si>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</si>
  <si>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</si>
  <si>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</si>
  <si>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</si>
  <si>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</si>
  <si>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</si>
  <si>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</si>
  <si>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</si>
  <si>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</si>
  <si>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</si>
  <si>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</si>
  <si>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</si>
  <si>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</si>
  <si>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</si>
  <si>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</si>
  <si>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</si>
  <si>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</si>
  <si>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</si>
  <si>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</si>
  <si>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</si>
  <si>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</si>
  <si>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</si>
  <si>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</si>
  <si>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</si>
  <si>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</si>
  <si>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</si>
  <si>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</si>
  <si>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</si>
  <si>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</si>
  <si>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</si>
  <si>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</si>
  <si>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</si>
  <si>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</si>
  <si>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</si>
  <si>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</si>
  <si>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</si>
  <si>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</si>
  <si>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</si>
  <si>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</si>
  <si>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</si>
  <si>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</si>
  <si>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</si>
  <si>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</si>
  <si>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</si>
  <si>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</si>
  <si>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</si>
  <si>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</si>
  <si>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</si>
  <si>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</si>
  <si>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</si>
  <si>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</si>
  <si>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</si>
  <si>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</si>
  <si>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</si>
  <si>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</si>
  <si>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</si>
  <si>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</si>
  <si>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</si>
  <si>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</si>
  <si>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</si>
  <si>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</si>
  <si>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</si>
  <si>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</si>
  <si>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</si>
  <si>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</si>
  <si>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</si>
  <si>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</si>
  <si>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</si>
  <si>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</si>
  <si>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</si>
  <si>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</si>
  <si>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</si>
  <si>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</si>
  <si>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</si>
  <si>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</si>
  <si>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</si>
  <si>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</si>
  <si>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</si>
  <si>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</si>
  <si>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</si>
  <si>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</si>
  <si>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</si>
  <si>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</si>
  <si>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</si>
  <si>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</si>
  <si>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</si>
  <si>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</si>
  <si>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</si>
  <si>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</si>
  <si>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</si>
  <si>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</si>
  <si>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</si>
  <si>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</si>
  <si>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</si>
  <si>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</si>
  <si>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</si>
  <si>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</si>
  <si>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</si>
  <si>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</si>
  <si>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</si>
  <si>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</si>
  <si>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</si>
  <si>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</si>
  <si>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</si>
  <si>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</si>
  <si>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</si>
  <si>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</si>
  <si>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</si>
  <si>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</si>
  <si>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</si>
  <si>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</si>
  <si>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</si>
  <si>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</si>
  <si>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</si>
  <si>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</si>
  <si>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</si>
  <si>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</si>
  <si>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</si>
  <si>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</si>
  <si>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</si>
  <si>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</si>
  <si>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</si>
  <si>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</si>
  <si>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</si>
  <si>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</si>
  <si>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</si>
  <si>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</si>
  <si>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</si>
  <si>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</si>
  <si>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</si>
  <si>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</si>
  <si>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</si>
  <si>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</si>
  <si>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</si>
  <si>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</si>
  <si>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</si>
  <si>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</si>
  <si>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</si>
  <si>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</si>
  <si>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</si>
  <si>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</si>
  <si>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</si>
  <si>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</si>
  <si>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</si>
  <si>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</si>
  <si>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</si>
  <si>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</si>
  <si>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</si>
  <si>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</si>
  <si>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</si>
  <si>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</si>
  <si>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</si>
  <si>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</si>
  <si>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</si>
  <si>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</si>
  <si>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</si>
  <si>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</si>
  <si>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</si>
  <si>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</si>
  <si>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</si>
  <si>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</si>
  <si>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</si>
  <si>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</si>
  <si>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</si>
  <si>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</si>
  <si>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</si>
  <si>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</si>
  <si>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</si>
  <si>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</si>
  <si>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</si>
  <si>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</si>
  <si>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</si>
  <si>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</si>
  <si>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</si>
  <si>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</si>
  <si>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</si>
  <si>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</si>
  <si>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</si>
  <si>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</si>
  <si>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</si>
  <si>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</si>
  <si>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</si>
  <si>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</si>
  <si>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</si>
  <si>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</si>
  <si>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</si>
  <si>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</si>
  <si>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</si>
  <si>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</si>
  <si>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</si>
  <si>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</si>
  <si>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</si>
  <si>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</si>
  <si>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</si>
  <si>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</si>
  <si>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</si>
  <si>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</si>
  <si>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</si>
  <si>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</si>
  <si>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</si>
  <si>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</si>
  <si>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</si>
  <si>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</si>
  <si>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</si>
  <si>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</si>
  <si>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</si>
  <si>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</si>
  <si>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</si>
  <si>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</si>
  <si>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</si>
  <si>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</si>
  <si>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</si>
  <si>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</si>
  <si>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</si>
  <si>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</si>
  <si>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</si>
  <si>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</si>
  <si>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</si>
  <si>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</si>
  <si>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</si>
  <si>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</si>
  <si>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</si>
  <si>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</si>
  <si>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</si>
  <si>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</si>
  <si>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</si>
  <si>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</si>
  <si>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</si>
  <si>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</si>
  <si>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</si>
  <si>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</si>
  <si>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</si>
  <si>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</si>
  <si>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</si>
  <si>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</si>
  <si>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</si>
  <si>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</si>
  <si>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</si>
  <si>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</si>
  <si>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</si>
  <si>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</si>
  <si>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</si>
  <si>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</si>
  <si>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</si>
  <si>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</si>
  <si>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</si>
  <si>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</si>
  <si>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</si>
  <si>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</si>
  <si>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</si>
  <si>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</si>
  <si>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</si>
  <si>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</si>
  <si>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</si>
  <si>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</si>
  <si>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</si>
  <si>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</si>
  <si>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</si>
  <si>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</si>
  <si>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</si>
  <si>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</si>
  <si>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</si>
  <si>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</si>
  <si>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</si>
  <si>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</si>
  <si>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</si>
  <si>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</si>
  <si>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</si>
  <si>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</si>
  <si>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</si>
  <si>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</si>
  <si>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</si>
  <si>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</si>
  <si>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</si>
  <si>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</si>
  <si>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</si>
  <si>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</si>
  <si>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</si>
  <si>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</si>
  <si>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</si>
  <si>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</si>
  <si>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</si>
  <si>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</si>
  <si>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</si>
  <si>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</si>
  <si>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</si>
  <si>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</si>
  <si>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</si>
  <si>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</si>
  <si>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</si>
  <si>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</si>
  <si>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</si>
  <si>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</si>
  <si>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</si>
  <si>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</si>
  <si>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</si>
  <si>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</si>
  <si>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</si>
  <si>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</si>
  <si>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</si>
  <si>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</si>
  <si>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</si>
  <si>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</si>
  <si>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</si>
  <si>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</si>
  <si>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</si>
  <si>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</si>
  <si>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</si>
  <si>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</si>
  <si>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</si>
  <si>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</si>
  <si>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</si>
  <si>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</si>
  <si>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</si>
  <si>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</si>
  <si>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</si>
  <si>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</si>
  <si>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</si>
  <si>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</si>
  <si>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</si>
  <si>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</si>
  <si>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</si>
  <si>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</si>
  <si>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</si>
  <si>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</si>
  <si>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</si>
  <si>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</si>
  <si>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</si>
  <si>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</si>
  <si>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</si>
  <si>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</si>
  <si>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</si>
  <si>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</si>
  <si>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</si>
  <si>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</si>
  <si>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</si>
  <si>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</si>
  <si>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</si>
  <si>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</si>
  <si>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</si>
  <si>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</si>
  <si>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</si>
  <si>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</si>
  <si>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</si>
  <si>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</si>
  <si>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</si>
  <si>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</si>
  <si>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</si>
  <si>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</si>
  <si>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</si>
  <si>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</si>
  <si>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</si>
  <si>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</si>
  <si>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</si>
  <si>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</si>
  <si>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</si>
  <si>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</si>
  <si>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</si>
  <si>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</si>
  <si>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</si>
  <si>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</si>
  <si>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</si>
  <si>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</si>
  <si>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</si>
  <si>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</si>
  <si>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</si>
  <si>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</si>
  <si>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</si>
  <si>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</si>
  <si>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</si>
  <si>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</si>
  <si>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</si>
  <si>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</si>
  <si>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</si>
  <si>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</si>
  <si>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</si>
  <si>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</si>
  <si>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</si>
  <si>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</si>
  <si>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</si>
  <si>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</si>
  <si>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</si>
  <si>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</si>
  <si>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</si>
  <si>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</si>
  <si>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</si>
  <si>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</si>
  <si>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</si>
  <si>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</si>
  <si>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</si>
  <si>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</si>
  <si>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</si>
  <si>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</si>
  <si>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</si>
  <si>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</si>
  <si>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</si>
  <si>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</si>
  <si>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</si>
  <si>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</si>
  <si>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</si>
  <si>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</si>
  <si>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</si>
  <si>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</si>
  <si>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</si>
  <si>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</si>
  <si>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</si>
  <si>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</si>
  <si>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</si>
  <si>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</si>
  <si>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</si>
  <si>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</si>
  <si>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</si>
  <si>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</si>
  <si>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</si>
  <si>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</si>
  <si>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</si>
  <si>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</si>
  <si>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</si>
  <si>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</si>
  <si>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</si>
  <si>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</si>
  <si>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</si>
  <si>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</si>
  <si>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</si>
  <si>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</si>
  <si>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</si>
  <si>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</si>
  <si>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</si>
  <si>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</si>
  <si>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</si>
  <si>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</si>
  <si>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</si>
  <si>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</si>
  <si>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</si>
  <si>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</si>
  <si>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</si>
  <si>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</si>
  <si>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</si>
  <si>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</si>
  <si>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</si>
  <si>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</si>
  <si>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</si>
  <si>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</si>
  <si>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</si>
  <si>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</si>
  <si>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</si>
  <si>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</si>
  <si>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</si>
  <si>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</si>
  <si>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</si>
  <si>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</si>
  <si>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</si>
  <si>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</si>
  <si>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</si>
  <si>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</si>
  <si>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</si>
  <si>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</si>
  <si>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</si>
  <si>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</si>
  <si>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</si>
  <si>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</si>
  <si>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</si>
  <si>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</si>
  <si>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</si>
  <si>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</si>
  <si>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</si>
  <si>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</si>
  <si>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</si>
  <si>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</si>
  <si>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</si>
  <si>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</si>
  <si>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</si>
  <si>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</si>
  <si>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</si>
  <si>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</si>
  <si>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</si>
  <si>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</si>
  <si>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</si>
  <si>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</si>
  <si>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</si>
  <si>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</si>
  <si>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</si>
  <si>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</si>
  <si>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</si>
  <si>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</si>
  <si>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</si>
  <si>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</si>
  <si>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</si>
  <si>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</si>
  <si>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</si>
  <si>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</si>
  <si>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</si>
  <si>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</si>
  <si>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</si>
  <si>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</si>
  <si>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</si>
  <si>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</si>
  <si>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</si>
  <si>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</si>
  <si>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</si>
  <si>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</si>
  <si>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</si>
  <si>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</si>
  <si>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</si>
  <si>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</si>
  <si>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</si>
  <si>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</si>
  <si>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</si>
  <si>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</si>
  <si>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</si>
  <si>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</si>
  <si>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</si>
  <si>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</si>
  <si>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</si>
  <si>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</si>
  <si>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</si>
  <si>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</si>
  <si>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</si>
  <si>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</si>
  <si>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</si>
  <si>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</si>
  <si>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</si>
  <si>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</si>
  <si>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</si>
  <si>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</si>
  <si>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</si>
  <si>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</si>
  <si>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</si>
  <si>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</si>
  <si>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</si>
  <si>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</si>
  <si>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</si>
  <si>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</si>
  <si>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</si>
  <si>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</si>
  <si>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</si>
  <si>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</si>
  <si>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</si>
  <si>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</si>
  <si>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</si>
  <si>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</si>
  <si>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</si>
  <si>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</si>
  <si>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</si>
  <si>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</si>
  <si>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</si>
  <si>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</si>
  <si>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</si>
  <si>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</si>
  <si>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</si>
  <si>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</si>
  <si>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</si>
  <si>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</si>
  <si>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</si>
  <si>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</si>
  <si>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</si>
  <si>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</si>
  <si>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</si>
  <si>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</si>
  <si>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</si>
  <si>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</si>
  <si>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</si>
  <si>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</si>
  <si>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</si>
  <si>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</si>
  <si>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</si>
  <si>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</si>
  <si>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</si>
  <si>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</si>
  <si>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</si>
  <si>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</si>
  <si>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</si>
  <si>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</si>
  <si>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</si>
  <si>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</si>
  <si>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</si>
  <si>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</si>
  <si>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</si>
  <si>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</si>
  <si>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</si>
  <si>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</si>
  <si>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</si>
  <si>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</si>
  <si>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</si>
  <si>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</si>
  <si>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</si>
  <si>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</si>
  <si>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</si>
  <si>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</si>
  <si>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</si>
  <si>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</si>
  <si>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</si>
  <si>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</si>
  <si>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</si>
  <si>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</si>
  <si>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</si>
  <si>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</si>
  <si>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</si>
  <si>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</si>
  <si>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</si>
  <si>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</si>
  <si>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</si>
  <si>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</si>
  <si>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</si>
  <si>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</si>
  <si>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</si>
  <si>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</si>
  <si>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</si>
  <si>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</si>
  <si>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</si>
  <si>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</si>
  <si>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</si>
  <si>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</si>
  <si>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</si>
  <si>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</si>
  <si>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</si>
  <si>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</si>
  <si>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</si>
  <si>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</si>
  <si>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</si>
  <si>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</si>
  <si>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</si>
  <si>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</si>
  <si>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</si>
  <si>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</si>
  <si>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</si>
  <si>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</si>
  <si>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</si>
  <si>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</si>
  <si>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</si>
  <si>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</si>
  <si>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</si>
  <si>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</si>
  <si>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</si>
  <si>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</si>
  <si>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</si>
  <si>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</si>
  <si>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</si>
  <si>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</si>
  <si>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</si>
  <si>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</si>
  <si>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</si>
  <si>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</si>
  <si>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</si>
  <si>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</si>
  <si>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</si>
  <si>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</si>
  <si>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</si>
  <si>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</si>
  <si>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</si>
  <si>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</si>
  <si>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</si>
  <si>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</si>
  <si>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</si>
  <si>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</si>
  <si>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</si>
  <si>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</si>
  <si>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</si>
  <si>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</si>
  <si>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</si>
  <si>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</si>
  <si>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</si>
  <si>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</si>
  <si>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</si>
  <si>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</si>
  <si>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</si>
  <si>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</si>
  <si>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</si>
  <si>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</si>
  <si>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</si>
  <si>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</si>
  <si>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</si>
  <si>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</si>
  <si>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</si>
  <si>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</si>
  <si>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</si>
  <si>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</si>
  <si>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</si>
  <si>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</si>
  <si>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</si>
  <si>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</si>
  <si>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</si>
  <si>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</si>
  <si>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</si>
  <si>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</si>
  <si>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</si>
  <si>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</si>
  <si>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</si>
  <si>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</si>
  <si>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</si>
  <si>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</si>
  <si>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</si>
  <si>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</si>
  <si>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</si>
  <si>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</si>
  <si>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</si>
  <si>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</si>
  <si>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</si>
  <si>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</si>
  <si>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</si>
  <si>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</si>
  <si>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</si>
  <si>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</si>
  <si>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</si>
  <si>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</si>
  <si>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</si>
  <si>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</si>
  <si>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</si>
  <si>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</si>
  <si>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</si>
  <si>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</si>
  <si>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</si>
  <si>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</si>
  <si>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</si>
  <si>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</si>
  <si>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</si>
  <si>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</si>
  <si>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</si>
  <si>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</si>
  <si>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</si>
  <si>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</si>
  <si>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</si>
  <si>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</si>
  <si>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</si>
  <si>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</si>
  <si>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</si>
  <si>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</si>
  <si>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</si>
  <si>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</si>
  <si>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</si>
  <si>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</si>
  <si>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</si>
  <si>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</si>
  <si>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</si>
  <si>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</si>
  <si>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</si>
  <si>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</si>
  <si>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</si>
  <si>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</si>
  <si>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</si>
  <si>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</si>
  <si>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</si>
  <si>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</si>
  <si>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</si>
  <si>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</si>
  <si>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</si>
  <si>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</si>
  <si>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</si>
  <si>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</si>
  <si>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</si>
  <si>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</si>
  <si>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</si>
  <si>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</si>
  <si>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</si>
  <si>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</si>
  <si>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</si>
  <si>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</si>
  <si>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</si>
  <si>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</si>
  <si>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</si>
  <si>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</si>
  <si>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</si>
  <si>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</si>
  <si>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</si>
  <si>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</si>
  <si>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</si>
  <si>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</si>
  <si>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</si>
  <si>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</si>
  <si>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</si>
  <si>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</si>
  <si>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</si>
  <si>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</si>
  <si>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</si>
  <si>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</si>
  <si>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</si>
  <si>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</si>
  <si>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</si>
  <si>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</si>
  <si>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</si>
  <si>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</si>
  <si>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</si>
  <si>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</si>
  <si>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</si>
  <si>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</si>
  <si>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</si>
  <si>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</si>
  <si>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</si>
  <si>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</si>
  <si>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</si>
  <si>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</si>
  <si>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</si>
  <si>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</si>
  <si>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</si>
  <si>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</si>
  <si>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</si>
  <si>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</si>
  <si>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</si>
  <si>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</si>
  <si>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</si>
  <si>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</si>
  <si>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</si>
  <si>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</si>
  <si>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</si>
  <si>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</si>
  <si>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</si>
  <si>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</si>
  <si>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</si>
  <si>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</si>
  <si>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</si>
  <si>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</si>
  <si>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</si>
  <si>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</si>
  <si>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</si>
  <si>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</si>
  <si>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</si>
  <si>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</si>
  <si>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</si>
  <si>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</si>
  <si>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</si>
  <si>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</si>
  <si>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</si>
  <si>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</si>
  <si>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</si>
  <si>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</si>
  <si>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</si>
  <si>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</si>
  <si>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</si>
  <si>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</si>
  <si>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</si>
  <si>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</si>
  <si>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</si>
  <si>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</si>
  <si>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</si>
  <si>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</si>
  <si>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</si>
  <si>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</si>
  <si>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</si>
  <si>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</si>
  <si>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</si>
  <si>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</si>
  <si>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</si>
  <si>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</si>
  <si>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</si>
  <si>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</si>
  <si>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</si>
  <si>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</si>
  <si>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</si>
  <si>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</si>
  <si>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</si>
  <si>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</si>
  <si>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</si>
  <si>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</si>
  <si>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</si>
  <si>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</si>
  <si>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</si>
  <si>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</si>
  <si>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</si>
  <si>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</si>
  <si>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</si>
  <si>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</si>
  <si>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</si>
  <si>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</si>
  <si>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</si>
  <si>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</si>
  <si>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</si>
  <si>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</si>
  <si>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</si>
  <si>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</si>
  <si>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</si>
  <si>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</si>
  <si>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</si>
  <si>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</si>
  <si>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</si>
  <si>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</si>
  <si>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</si>
  <si>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</si>
  <si>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</si>
  <si>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</si>
  <si>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</si>
  <si>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</si>
  <si>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</si>
  <si>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</si>
  <si>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</si>
  <si>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</si>
  <si>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</si>
  <si>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</si>
  <si>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</si>
  <si>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</si>
  <si>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</si>
  <si>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</si>
  <si>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</si>
  <si>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</si>
  <si>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</si>
  <si>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</si>
  <si>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</si>
  <si>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</si>
  <si>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</si>
  <si>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</si>
  <si>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</si>
  <si>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</si>
  <si>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</si>
  <si>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</si>
  <si>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</si>
  <si>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</si>
  <si>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</si>
  <si>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</si>
  <si>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</si>
  <si>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</si>
  <si>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</si>
  <si>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</si>
  <si>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</si>
  <si>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</si>
  <si>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</si>
  <si>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</si>
  <si>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</si>
  <si>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</si>
  <si>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</si>
  <si>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</si>
  <si>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</si>
  <si>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</si>
  <si>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</si>
  <si>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</si>
  <si>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</si>
  <si>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</si>
  <si>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</si>
  <si>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</si>
  <si>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</si>
  <si>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</si>
  <si>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</si>
  <si>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</si>
  <si>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</si>
  <si>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</si>
  <si>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</si>
  <si>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</si>
  <si>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</si>
  <si>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</si>
  <si>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</si>
  <si>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</si>
  <si>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</si>
  <si>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</si>
  <si>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</si>
  <si>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</si>
  <si>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</si>
  <si>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</si>
  <si>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</si>
  <si>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</si>
  <si>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</si>
  <si>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</si>
  <si>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</si>
  <si>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</si>
  <si>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</si>
  <si>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</si>
  <si>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</si>
  <si>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</si>
  <si>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</si>
  <si>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</si>
  <si>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</si>
  <si>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</si>
  <si>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</si>
  <si>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</si>
  <si>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</si>
  <si>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</si>
  <si>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</si>
  <si>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</si>
  <si>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</si>
  <si>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</si>
  <si>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</si>
  <si>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</si>
  <si>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</si>
  <si>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</si>
  <si>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</si>
  <si>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</si>
  <si>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</si>
  <si>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</si>
  <si>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</si>
  <si>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</si>
  <si>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</si>
  <si>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</si>
  <si>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</si>
  <si>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</si>
  <si>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</si>
  <si>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</si>
  <si>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</si>
  <si>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</si>
  <si>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</si>
  <si>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</si>
  <si>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</si>
  <si>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</si>
  <si>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</si>
  <si>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</si>
  <si>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</si>
  <si>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</si>
  <si>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</si>
  <si>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</si>
  <si>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</si>
  <si>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</si>
  <si>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</si>
  <si>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</si>
  <si>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</si>
  <si>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</si>
  <si>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</si>
  <si>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</si>
  <si>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</si>
  <si>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</si>
  <si>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</si>
  <si>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</si>
  <si>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</si>
  <si>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</si>
  <si>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</si>
  <si>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</si>
  <si>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</si>
  <si>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</si>
  <si>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</si>
  <si>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</si>
  <si>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</si>
  <si>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</si>
  <si>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</si>
  <si>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</si>
  <si>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</si>
  <si>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</si>
  <si>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</si>
  <si>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</si>
  <si>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</si>
  <si>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</si>
  <si>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</si>
  <si>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</si>
  <si>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</si>
  <si>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</si>
  <si>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</si>
  <si>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</si>
  <si>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</si>
  <si>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</si>
  <si>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</si>
  <si>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</si>
  <si>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</si>
  <si>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</si>
  <si>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</si>
  <si>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</si>
  <si>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</si>
  <si>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</si>
  <si>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</si>
  <si>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</si>
  <si>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</si>
  <si>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</si>
  <si>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</si>
  <si>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</si>
  <si>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</si>
  <si>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</si>
  <si>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</si>
  <si>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</si>
  <si>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</si>
  <si>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</si>
  <si>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</si>
  <si>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</si>
  <si>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</si>
  <si>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</si>
  <si>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</si>
  <si>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</si>
  <si>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</si>
  <si>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</si>
  <si>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</si>
  <si>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</si>
  <si>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</si>
  <si>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</si>
  <si>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</si>
  <si>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</si>
  <si>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</si>
  <si>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</si>
  <si>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</si>
  <si>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</si>
  <si>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</si>
  <si>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</si>
  <si>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</si>
  <si>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</si>
  <si>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</si>
  <si>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</si>
  <si>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</si>
  <si>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</si>
  <si>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</si>
  <si>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</si>
  <si>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</si>
  <si>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</si>
  <si>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</si>
  <si>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</si>
  <si>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</si>
  <si>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</si>
  <si>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</si>
  <si>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</si>
  <si>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</si>
  <si>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</si>
  <si>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</si>
  <si>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</si>
  <si>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</si>
  <si>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</si>
  <si>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</si>
  <si>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</si>
  <si>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</si>
  <si>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</si>
  <si>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</si>
  <si>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</si>
  <si>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</si>
  <si>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</si>
  <si>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</si>
  <si>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</si>
  <si>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</si>
  <si>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</si>
  <si>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</si>
  <si>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</si>
  <si>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</si>
  <si>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</si>
  <si>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</si>
  <si>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</si>
  <si>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</si>
  <si>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</si>
  <si>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</si>
  <si>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</si>
  <si>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</si>
  <si>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</si>
  <si>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</si>
  <si>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</si>
  <si>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</si>
  <si>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</si>
  <si>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</si>
  <si>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</si>
  <si>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</si>
  <si>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</si>
  <si>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</si>
  <si>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</si>
  <si>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</si>
  <si>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</si>
  <si>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</si>
  <si>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</si>
  <si>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</si>
  <si>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</si>
  <si>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</si>
  <si>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</si>
  <si>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</si>
  <si>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</si>
  <si>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</si>
  <si>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</si>
  <si>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</si>
  <si>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</si>
  <si>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</si>
  <si>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</si>
  <si>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</si>
  <si>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</si>
  <si>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</si>
  <si>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</si>
  <si>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</si>
  <si>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</si>
  <si>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</si>
  <si>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</si>
  <si>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</si>
  <si>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</si>
  <si>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</si>
  <si>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</si>
  <si>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</si>
  <si>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</si>
  <si>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</si>
  <si>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</si>
  <si>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</si>
  <si>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</si>
  <si>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</si>
  <si>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</si>
  <si>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</si>
  <si>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</si>
  <si>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</si>
  <si>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</si>
  <si>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</si>
  <si>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</si>
  <si>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</si>
  <si>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</si>
  <si>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</si>
  <si>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</si>
  <si>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</si>
  <si>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</si>
  <si>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</si>
  <si>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</si>
  <si>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</si>
  <si>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</si>
  <si>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</si>
  <si>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</si>
  <si>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</si>
  <si>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</si>
  <si>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</si>
  <si>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</si>
  <si>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</si>
  <si>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</si>
  <si>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</si>
  <si>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</si>
  <si>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</si>
  <si>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</si>
  <si>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</si>
  <si>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</si>
  <si>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</si>
  <si>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</si>
  <si>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</si>
  <si>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</si>
  <si>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</si>
  <si>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</si>
  <si>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</si>
  <si>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</si>
  <si>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</si>
  <si>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</si>
  <si>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</si>
  <si>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</si>
  <si>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</si>
  <si>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</si>
  <si>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</si>
  <si>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</si>
  <si>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</si>
  <si>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</si>
  <si>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</si>
  <si>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</si>
  <si>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</si>
  <si>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</si>
  <si>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</si>
  <si>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</si>
  <si>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</si>
  <si>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</si>
  <si>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</si>
  <si>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</si>
  <si>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</si>
  <si>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</si>
  <si>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</si>
  <si>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</si>
  <si>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</si>
  <si>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</si>
  <si>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</si>
  <si>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</si>
  <si>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</si>
  <si>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</si>
  <si>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</si>
  <si>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</si>
  <si>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</si>
  <si>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</si>
  <si>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</si>
  <si>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</si>
  <si>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</si>
  <si>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</si>
  <si>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</si>
  <si>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</si>
  <si>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</si>
  <si>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</si>
  <si>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</si>
  <si>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</si>
  <si>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</si>
  <si>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</si>
  <si>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</si>
  <si>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</si>
  <si>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</si>
  <si>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</si>
  <si>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</si>
  <si>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</si>
  <si>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</si>
  <si>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</si>
  <si>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</si>
  <si>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</si>
  <si>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</si>
  <si>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</si>
  <si>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</si>
  <si>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</si>
  <si>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</si>
  <si>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</si>
  <si>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</si>
  <si>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</si>
  <si>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</si>
  <si>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</si>
  <si>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</si>
  <si>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</si>
  <si>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</si>
  <si>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</si>
  <si>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</si>
  <si>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</si>
  <si>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</si>
  <si>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</si>
  <si>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</si>
  <si>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</si>
  <si>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</si>
  <si>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</si>
  <si>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</si>
  <si>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</si>
  <si>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</si>
  <si>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</si>
  <si>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</si>
  <si>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</si>
  <si>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</si>
  <si>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</si>
  <si>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</si>
  <si>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</si>
  <si>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</si>
  <si>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</si>
  <si>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</si>
  <si>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</si>
  <si>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</si>
  <si>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</si>
  <si>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</si>
  <si>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</si>
  <si>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</si>
  <si>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</si>
  <si>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</si>
  <si>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</si>
  <si>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</si>
  <si>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</si>
  <si>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</si>
  <si>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</si>
  <si>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</si>
  <si>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</si>
  <si>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</si>
  <si>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</si>
  <si>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</si>
  <si>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</si>
  <si>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</si>
  <si>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</si>
  <si>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</si>
  <si>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</si>
  <si>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</si>
  <si>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</si>
  <si>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</si>
  <si>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</si>
  <si>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</si>
  <si>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</si>
  <si>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</si>
  <si>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</si>
  <si>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</si>
  <si>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</si>
  <si>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</si>
  <si>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</si>
  <si>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</si>
  <si>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</si>
  <si>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</si>
  <si>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</si>
  <si>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</si>
  <si>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</si>
  <si>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</si>
  <si>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</si>
  <si>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</si>
  <si>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</si>
  <si>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</si>
  <si>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</si>
  <si>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</si>
  <si>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</si>
  <si>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</si>
  <si>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</si>
  <si>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</si>
  <si>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</si>
  <si>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</si>
  <si>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</si>
  <si>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</si>
  <si>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</si>
  <si>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</si>
  <si>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</si>
  <si>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</si>
  <si>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</si>
  <si>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</si>
  <si>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</si>
  <si>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</si>
  <si>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</si>
  <si>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</si>
  <si>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</si>
  <si>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</si>
  <si>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</si>
  <si>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</si>
  <si>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</si>
  <si>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</si>
  <si>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</si>
  <si>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</si>
  <si>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</si>
  <si>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</si>
  <si>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</si>
  <si>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</si>
  <si>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</si>
  <si>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</si>
  <si>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</si>
  <si>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</si>
  <si>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</si>
  <si>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</si>
  <si>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</si>
  <si>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</si>
  <si>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</si>
  <si>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</si>
  <si>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</si>
  <si>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</si>
  <si>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</si>
  <si>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</si>
  <si>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</si>
  <si>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</si>
  <si>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</si>
  <si>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</si>
  <si>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</si>
  <si>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</si>
  <si>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</si>
  <si>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</si>
  <si>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</si>
  <si>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</si>
  <si>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</si>
  <si>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</si>
  <si>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</si>
  <si>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</si>
  <si>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</si>
  <si>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</si>
  <si>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</si>
  <si>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</si>
  <si>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</si>
  <si>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</si>
  <si>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</si>
  <si>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</si>
  <si>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</si>
  <si>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</si>
  <si>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</si>
  <si>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</si>
  <si>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</si>
  <si>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</si>
  <si>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</si>
  <si>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</si>
  <si>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</si>
  <si>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</si>
  <si>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</si>
  <si>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</si>
  <si>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</si>
  <si>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</si>
  <si>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</si>
  <si>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</si>
  <si>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</si>
  <si>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</si>
  <si>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</si>
  <si>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</si>
  <si>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</si>
  <si>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</si>
  <si>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</si>
  <si>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</si>
  <si>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</si>
  <si>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</si>
  <si>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</si>
  <si>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</si>
  <si>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</si>
  <si>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</si>
  <si>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</si>
  <si>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</si>
  <si>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</si>
  <si>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</si>
  <si>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</si>
  <si>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</si>
  <si>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</si>
  <si>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</si>
  <si>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</si>
  <si>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</si>
  <si>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</si>
  <si>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</si>
  <si>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</si>
  <si>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</si>
  <si>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</si>
  <si>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</si>
  <si>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</si>
  <si>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</si>
  <si>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</si>
  <si>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</si>
  <si>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</si>
  <si>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</si>
  <si>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</si>
  <si>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</si>
  <si>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</si>
  <si>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</si>
  <si>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</si>
  <si>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</si>
  <si>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</si>
  <si>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</si>
  <si>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</si>
  <si>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</si>
  <si>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</si>
  <si>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</si>
  <si>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</si>
  <si>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</si>
  <si>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</si>
  <si>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</si>
  <si>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</si>
  <si>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</si>
  <si>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</si>
  <si>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</si>
  <si>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</si>
  <si>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</si>
  <si>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</si>
  <si>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</si>
  <si>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</si>
  <si>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</si>
  <si>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</si>
  <si>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</si>
  <si>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</si>
  <si>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</si>
  <si>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</si>
  <si>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</si>
  <si>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</si>
  <si>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</si>
  <si>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</si>
  <si>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</si>
  <si>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</si>
  <si>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</si>
  <si>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</si>
  <si>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</si>
  <si>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</si>
  <si>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</si>
  <si>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</si>
  <si>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</si>
  <si>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</si>
  <si>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</si>
  <si>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</si>
  <si>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</si>
  <si>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</si>
  <si>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</si>
  <si>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</si>
  <si>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</si>
  <si>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</si>
  <si>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</si>
  <si>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</si>
  <si>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</si>
  <si>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</si>
  <si>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</si>
  <si>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</si>
  <si>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</si>
  <si>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</si>
  <si>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</si>
  <si>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</si>
  <si>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</si>
  <si>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</si>
  <si>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</si>
  <si>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</si>
  <si>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</si>
  <si>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</si>
  <si>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</si>
  <si>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</si>
  <si>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</si>
  <si>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</si>
  <si>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</si>
  <si>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</si>
  <si>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</si>
  <si>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</si>
  <si>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</si>
  <si>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</si>
  <si>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</si>
  <si>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</si>
  <si>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</si>
  <si>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</si>
  <si>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</si>
  <si>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</si>
  <si>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</si>
  <si>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</si>
  <si>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</si>
  <si>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</si>
  <si>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</si>
  <si>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</si>
  <si>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</si>
  <si>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</si>
  <si>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</si>
  <si>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</si>
  <si>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</si>
  <si>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</si>
  <si>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</si>
  <si>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</si>
  <si>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</si>
  <si>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</si>
  <si>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</si>
  <si>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</si>
  <si>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</si>
  <si>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</si>
  <si>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</si>
  <si>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</si>
  <si>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</si>
  <si>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</si>
  <si>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</si>
  <si>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</si>
  <si>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</si>
  <si>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</si>
  <si>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</si>
  <si>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</si>
  <si>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</si>
  <si>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</si>
  <si>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</si>
  <si>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</si>
  <si>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</si>
  <si>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</si>
  <si>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</si>
  <si>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</si>
  <si>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</si>
  <si>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</si>
  <si>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</si>
  <si>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</si>
  <si>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</si>
  <si>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</si>
  <si>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</si>
  <si>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</si>
  <si>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</si>
  <si>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</si>
  <si>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</si>
  <si>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</si>
  <si>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</si>
  <si>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</si>
  <si>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</si>
  <si>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</si>
  <si>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</si>
  <si>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</si>
  <si>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</si>
  <si>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</si>
  <si>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</si>
  <si>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</si>
  <si>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</si>
  <si>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</si>
  <si>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</si>
  <si>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</si>
  <si>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</si>
  <si>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</si>
  <si>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</si>
  <si>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</si>
  <si>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</si>
  <si>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</si>
  <si>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</si>
  <si>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</si>
  <si>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</si>
  <si>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</si>
  <si>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</si>
  <si>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</si>
  <si>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</si>
  <si>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</si>
  <si>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</si>
  <si>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</si>
  <si>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</si>
  <si>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</si>
  <si>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</si>
  <si>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</si>
  <si>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</si>
  <si>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</si>
  <si>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</si>
  <si>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</si>
  <si>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</si>
  <si>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</si>
  <si>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</si>
  <si>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</si>
  <si>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</si>
  <si>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</si>
  <si>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</si>
  <si>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</si>
  <si>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</si>
  <si>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</si>
  <si>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</si>
  <si>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</si>
  <si>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</si>
  <si>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</si>
  <si>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</si>
  <si>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</si>
  <si>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</si>
  <si>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</si>
  <si>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</si>
  <si>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</si>
  <si>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</si>
  <si>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</si>
  <si>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</si>
  <si>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</si>
  <si>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</si>
  <si>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</si>
  <si>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</si>
  <si>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</si>
  <si>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</si>
  <si>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</si>
  <si>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</si>
  <si>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</si>
  <si>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</si>
  <si>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</si>
  <si>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</si>
  <si>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</si>
  <si>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</si>
  <si>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</si>
  <si>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</si>
  <si>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</si>
  <si>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</si>
  <si>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</si>
  <si>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</si>
  <si>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</si>
  <si>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</si>
  <si>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</si>
  <si>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</si>
  <si>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</si>
  <si>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</si>
  <si>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</si>
  <si>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</si>
  <si>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</si>
  <si>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</si>
  <si>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</si>
  <si>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</si>
  <si>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</si>
  <si>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</si>
  <si>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</si>
  <si>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</si>
  <si>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</si>
  <si>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</si>
  <si>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</si>
  <si>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</si>
  <si>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</si>
  <si>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</si>
  <si>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</si>
  <si>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</si>
  <si>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</si>
  <si>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</si>
  <si>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</si>
  <si>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</si>
  <si>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</si>
  <si>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</si>
  <si>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</si>
  <si>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</si>
  <si>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</si>
  <si>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</si>
  <si>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</si>
  <si>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</si>
  <si>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</si>
  <si>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</si>
  <si>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</si>
  <si>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</si>
  <si>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</si>
  <si>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</si>
  <si>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</si>
  <si>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</si>
  <si>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</si>
  <si>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</si>
  <si>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</si>
  <si>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</si>
  <si>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</si>
  <si>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</si>
  <si>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</si>
  <si>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</si>
  <si>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</si>
  <si>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</si>
  <si>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</si>
  <si>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</si>
  <si>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</si>
  <si>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</si>
  <si>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</si>
  <si>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</si>
  <si>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</si>
  <si>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</si>
  <si>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</si>
  <si>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</si>
  <si>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</si>
  <si>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</si>
  <si>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</si>
  <si>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</si>
  <si>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</si>
  <si>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</si>
  <si>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</si>
  <si>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</si>
  <si>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</si>
  <si>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</si>
  <si>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</si>
  <si>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</si>
  <si>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</si>
  <si>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</si>
  <si>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</si>
  <si>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</si>
  <si>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</si>
  <si>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</si>
  <si>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</si>
  <si>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</si>
  <si>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</si>
  <si>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</si>
  <si>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</si>
  <si>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</si>
  <si>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</si>
  <si>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</si>
  <si>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</si>
  <si>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</si>
  <si>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</si>
  <si>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</si>
  <si>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</si>
  <si>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</si>
  <si>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</si>
  <si>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</si>
  <si>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</si>
  <si>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</si>
  <si>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</si>
  <si>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</si>
  <si>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</si>
  <si>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</si>
  <si>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</si>
  <si>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</si>
  <si>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</si>
  <si>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</si>
  <si>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</si>
  <si>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</si>
  <si>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</si>
  <si>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</si>
  <si>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</si>
  <si>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</si>
  <si>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</si>
  <si>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</si>
  <si>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</si>
  <si>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</si>
  <si>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</si>
  <si>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</si>
  <si>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</si>
  <si>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</si>
  <si>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</si>
  <si>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</si>
  <si>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</si>
  <si>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</si>
  <si>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</si>
  <si>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</si>
  <si>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</si>
  <si>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</si>
  <si>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</si>
  <si>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</si>
  <si>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</si>
  <si>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</si>
  <si>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</si>
  <si>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</si>
  <si>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</si>
  <si>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</si>
  <si>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</si>
  <si>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</si>
  <si>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</si>
  <si>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</si>
  <si>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</si>
  <si>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</si>
  <si>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</si>
  <si>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</si>
  <si>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</si>
  <si>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</si>
  <si>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</si>
  <si>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</si>
  <si>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</si>
  <si>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</si>
  <si>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</si>
  <si>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</si>
  <si>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</si>
  <si>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</si>
  <si>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</si>
  <si>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</si>
  <si>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</si>
  <si>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</si>
  <si>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</si>
  <si>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</si>
  <si>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</si>
  <si>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</si>
  <si>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</si>
  <si>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</si>
  <si>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</si>
  <si>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</si>
  <si>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</si>
  <si>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</si>
  <si>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</si>
  <si>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</si>
  <si>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</si>
  <si>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</si>
  <si>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</si>
  <si>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</si>
  <si>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</si>
  <si>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</si>
  <si>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</si>
  <si>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</si>
  <si>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</si>
  <si>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</si>
  <si>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</si>
  <si>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</si>
  <si>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</si>
  <si>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</si>
  <si>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</si>
  <si>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</si>
  <si>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</si>
  <si>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</si>
  <si>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</si>
  <si>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</si>
  <si>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</si>
  <si>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</si>
  <si>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</si>
  <si>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</si>
  <si>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</si>
  <si>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</si>
  <si>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</si>
  <si>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</si>
  <si>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</si>
  <si>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</si>
  <si>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</si>
  <si>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</si>
  <si>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</si>
  <si>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</si>
  <si>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</si>
  <si>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</si>
  <si>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</si>
  <si>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</si>
  <si>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</si>
  <si>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</si>
  <si>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</si>
  <si>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</si>
  <si>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</si>
  <si>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</si>
  <si>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</si>
  <si>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</si>
  <si>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</si>
  <si>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</si>
  <si>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</si>
  <si>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</si>
  <si>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</si>
  <si>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</si>
  <si>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</si>
  <si>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</si>
  <si>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</si>
  <si>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</si>
  <si>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</si>
  <si>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</si>
  <si>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</si>
  <si>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</si>
  <si>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</si>
  <si>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</si>
  <si>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</si>
  <si>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</si>
  <si>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</si>
  <si>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</si>
  <si>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</si>
  <si>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</si>
  <si>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</si>
  <si>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</si>
  <si>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</si>
  <si>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</si>
  <si>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</si>
  <si>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</si>
  <si>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</si>
  <si>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</si>
  <si>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</si>
  <si>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</si>
  <si>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</si>
  <si>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</si>
  <si>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</si>
  <si>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</si>
  <si>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</si>
  <si>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</si>
  <si>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</si>
  <si>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</si>
  <si>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</si>
  <si>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</si>
  <si>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</si>
  <si>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</si>
  <si>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</si>
  <si>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</si>
  <si>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</si>
  <si>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</si>
  <si>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</si>
  <si>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</si>
  <si>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</si>
  <si>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</si>
  <si>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</si>
  <si>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</si>
  <si>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</si>
  <si>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</si>
  <si>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</si>
  <si>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</si>
  <si>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</si>
  <si>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</si>
  <si>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</si>
  <si>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</si>
  <si>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</si>
  <si>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</si>
  <si>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</si>
  <si>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</si>
  <si>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</si>
  <si>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</si>
  <si>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</si>
  <si>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</si>
  <si>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</si>
  <si>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</si>
  <si>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</si>
  <si>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</si>
  <si>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</si>
  <si>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</si>
  <si>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</si>
  <si>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</si>
  <si>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</si>
  <si>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</si>
  <si>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</si>
  <si>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</si>
  <si>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</si>
  <si>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</si>
  <si>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</si>
  <si>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</si>
  <si>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</si>
  <si>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</si>
  <si>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</si>
  <si>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</si>
  <si>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</si>
  <si>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</si>
  <si>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</si>
  <si>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</si>
  <si>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</si>
  <si>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</si>
  <si>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</si>
  <si>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</si>
  <si>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</si>
  <si>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</si>
  <si>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</si>
  <si>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</si>
  <si>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</si>
  <si>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</si>
  <si>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</si>
  <si>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</si>
  <si>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</si>
  <si>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</si>
  <si>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</si>
  <si>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</si>
  <si>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</si>
  <si>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</si>
  <si>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</si>
  <si>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</si>
  <si>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</si>
  <si>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</si>
  <si>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</si>
  <si>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</si>
  <si>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</si>
  <si>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</si>
  <si>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</si>
  <si>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</si>
  <si>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</si>
  <si>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</si>
  <si>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</si>
  <si>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</si>
  <si>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</si>
  <si>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</si>
  <si>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</si>
  <si>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</si>
  <si>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</si>
  <si>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</si>
  <si>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</si>
  <si>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</si>
  <si>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</si>
  <si>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</si>
  <si>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</si>
  <si>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</si>
  <si>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</si>
  <si>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</si>
  <si>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</si>
  <si>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</si>
  <si>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</si>
  <si>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</si>
  <si>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</si>
  <si>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</si>
  <si>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</si>
  <si>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</si>
  <si>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</si>
  <si>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</si>
  <si>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</si>
  <si>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</si>
  <si>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</si>
  <si>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</si>
  <si>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</si>
  <si>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</si>
  <si>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</si>
  <si>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</si>
  <si>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</si>
  <si>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</si>
  <si>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</si>
  <si>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</si>
  <si>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</si>
  <si>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</si>
  <si>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</si>
  <si>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</si>
  <si>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</si>
  <si>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</si>
  <si>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</si>
  <si>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</si>
  <si>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</si>
  <si>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</si>
  <si>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</si>
  <si>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</si>
  <si>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</si>
  <si>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</si>
  <si>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</si>
  <si>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</si>
  <si>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</si>
  <si>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</si>
  <si>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</si>
  <si>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</si>
  <si>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</si>
  <si>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</si>
  <si>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</si>
  <si>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</si>
  <si>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</si>
  <si>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</si>
  <si>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</si>
  <si>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</si>
  <si>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</si>
  <si>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</si>
  <si>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</si>
  <si>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</si>
  <si>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</si>
  <si>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</si>
  <si>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</si>
  <si>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</si>
  <si>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</si>
  <si>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</si>
  <si>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</si>
  <si>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</si>
  <si>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</si>
  <si>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</si>
  <si>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</si>
  <si>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</si>
  <si>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</si>
  <si>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</si>
  <si>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</si>
  <si>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</si>
  <si>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</si>
  <si>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</si>
  <si>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</si>
  <si>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</si>
  <si>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</si>
  <si>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</si>
  <si>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</si>
  <si>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</si>
  <si>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</si>
  <si>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</si>
  <si>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</si>
  <si>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</si>
  <si>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</si>
  <si>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</si>
  <si>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</si>
  <si>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</si>
  <si>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</si>
  <si>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</si>
  <si>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</si>
  <si>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</si>
  <si>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</si>
  <si>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</si>
  <si>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</si>
  <si>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</si>
  <si>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</si>
  <si>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</si>
  <si>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</si>
  <si>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</si>
  <si>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</si>
  <si>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</si>
  <si>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</si>
  <si>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</si>
  <si>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</si>
  <si>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</si>
  <si>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</si>
  <si>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</si>
  <si>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</si>
  <si>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</si>
  <si>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</si>
  <si>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</si>
  <si>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</si>
  <si>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</si>
  <si>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</si>
  <si>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</si>
  <si>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</si>
  <si>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</si>
  <si>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</si>
  <si>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</si>
  <si>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</si>
  <si>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</si>
  <si>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</si>
  <si>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</si>
  <si>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</si>
  <si>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</si>
  <si>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</si>
  <si>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</si>
  <si>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</si>
  <si>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</si>
  <si>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</si>
  <si>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</si>
  <si>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</si>
  <si>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</si>
  <si>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</si>
  <si>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</si>
  <si>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</si>
  <si>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</si>
  <si>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</si>
  <si>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</si>
  <si>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</si>
  <si>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</si>
  <si>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</si>
  <si>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</si>
  <si>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</si>
  <si>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</si>
  <si>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</si>
  <si>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</si>
  <si>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</si>
  <si>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</si>
  <si>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</si>
  <si>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</si>
  <si>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</si>
  <si>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</si>
  <si>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</si>
  <si>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</si>
  <si>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</si>
  <si>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</si>
  <si>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</si>
  <si>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</si>
  <si>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</si>
  <si>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</si>
  <si>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</si>
  <si>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</si>
  <si>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</si>
  <si>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</si>
  <si>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</si>
  <si>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</si>
  <si>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</si>
  <si>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</si>
  <si>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</si>
  <si>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</si>
  <si>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</si>
  <si>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</si>
  <si>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</si>
  <si>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</si>
  <si>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</si>
  <si>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</si>
  <si>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</si>
  <si>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</si>
  <si>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</si>
  <si>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</si>
  <si>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</si>
  <si>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</si>
  <si>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</si>
  <si>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</si>
  <si>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</si>
  <si>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</si>
  <si>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</si>
  <si>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</si>
  <si>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</si>
  <si>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</si>
  <si>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</si>
  <si>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</si>
  <si>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</si>
  <si>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</si>
  <si>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</si>
  <si>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</si>
  <si>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</si>
  <si>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</si>
  <si>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</si>
  <si>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</si>
  <si>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</si>
  <si>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</si>
  <si>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</si>
  <si>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</si>
  <si>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</si>
  <si>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</si>
  <si>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</si>
  <si>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</si>
  <si>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</si>
  <si>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</si>
  <si>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</si>
  <si>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</si>
  <si>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</si>
  <si>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</si>
  <si>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</si>
  <si>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</si>
  <si>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</si>
  <si>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</si>
  <si>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</si>
  <si>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</si>
  <si>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</si>
  <si>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</si>
  <si>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</si>
  <si>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</si>
  <si>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</si>
  <si>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</si>
  <si>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</si>
  <si>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</si>
  <si>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</si>
  <si>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</si>
  <si>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</si>
  <si>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</si>
  <si>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</si>
  <si>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</si>
  <si>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</si>
  <si>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</si>
  <si>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</si>
  <si>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</si>
  <si>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</si>
  <si>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</si>
  <si>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</si>
  <si>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</si>
  <si>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</si>
  <si>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</si>
  <si>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</si>
  <si>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</si>
  <si>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</si>
  <si>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</si>
  <si>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</si>
  <si>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</si>
  <si>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</si>
  <si>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</si>
  <si>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</si>
  <si>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</si>
  <si>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</si>
  <si>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</si>
  <si>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</si>
  <si>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</si>
  <si>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</si>
  <si>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</si>
  <si>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</si>
  <si>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</si>
  <si>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</si>
  <si>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</si>
  <si>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</si>
  <si>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</si>
  <si>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</si>
  <si>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</si>
  <si>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</si>
  <si>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</si>
  <si>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</si>
  <si>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</si>
  <si>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</si>
  <si>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</si>
  <si>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</si>
  <si>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</si>
  <si>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</si>
  <si>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</si>
  <si>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</si>
  <si>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</si>
  <si>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</si>
  <si>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</si>
  <si>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</si>
  <si>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</si>
  <si>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</si>
  <si>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</si>
  <si>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</si>
  <si>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</si>
  <si>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</si>
  <si>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</si>
  <si>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</si>
  <si>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</si>
  <si>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</si>
  <si>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</si>
  <si>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</si>
  <si>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</si>
  <si>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</si>
  <si>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</si>
  <si>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</si>
  <si>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</si>
  <si>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</si>
  <si>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</si>
  <si>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</si>
  <si>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</si>
  <si>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</si>
  <si>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</si>
  <si>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</si>
  <si>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</si>
  <si>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</si>
  <si>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</si>
  <si>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</si>
  <si>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</si>
  <si>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</si>
  <si>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</si>
  <si>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</si>
  <si>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</si>
  <si>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</si>
  <si>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</si>
  <si>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</si>
  <si>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</si>
  <si>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</si>
  <si>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</si>
  <si>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</si>
  <si>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</si>
  <si>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</si>
  <si>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</si>
  <si>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</si>
  <si>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</si>
  <si>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</si>
  <si>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</si>
  <si>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</si>
  <si>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</si>
  <si>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</si>
  <si>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</si>
  <si>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</si>
  <si>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</si>
  <si>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</si>
  <si>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</si>
  <si>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</si>
  <si>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</si>
  <si>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</si>
  <si>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</si>
  <si>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</si>
  <si>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</si>
  <si>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</si>
  <si>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</si>
  <si>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</si>
  <si>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</si>
  <si>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</si>
  <si>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</si>
  <si>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</si>
  <si>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</si>
  <si>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</si>
  <si>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</si>
  <si>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</si>
  <si>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</si>
  <si>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</si>
  <si>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</si>
  <si>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</si>
  <si>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</si>
  <si>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</si>
  <si>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</si>
  <si>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</si>
  <si>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</si>
  <si>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</si>
  <si>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</si>
  <si>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</si>
  <si>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</si>
  <si>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</si>
  <si>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</si>
  <si>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</si>
  <si>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</si>
  <si>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</si>
  <si>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</si>
  <si>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</si>
  <si>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</si>
  <si>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</si>
  <si>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</si>
  <si>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</si>
  <si>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</si>
  <si>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</si>
  <si>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</si>
  <si>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</si>
  <si>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</si>
  <si>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</si>
  <si>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</si>
  <si>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</si>
  <si>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</si>
  <si>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</si>
  <si>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</si>
  <si>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</si>
  <si>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</si>
  <si>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</si>
  <si>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</si>
  <si>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</si>
  <si>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</si>
  <si>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</si>
  <si>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</si>
  <si>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</si>
  <si>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</si>
  <si>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</si>
  <si>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</si>
  <si>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</si>
  <si>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</si>
  <si>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</si>
  <si>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</si>
  <si>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</si>
  <si>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</si>
  <si>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</si>
  <si>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</si>
  <si>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</si>
  <si>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</si>
  <si>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</si>
  <si>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</si>
  <si>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</si>
  <si>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</si>
  <si>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</si>
  <si>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</si>
  <si>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</si>
  <si>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</si>
  <si>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</si>
  <si>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</si>
  <si>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</si>
  <si>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</si>
  <si>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</si>
  <si>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</si>
  <si>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</si>
  <si>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</si>
  <si>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</si>
  <si>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</si>
  <si>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</si>
  <si>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</si>
  <si>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</si>
  <si>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</si>
  <si>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</si>
  <si>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</si>
  <si>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</si>
  <si>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</si>
  <si>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</si>
  <si>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</si>
  <si>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</si>
  <si>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</si>
  <si>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</si>
  <si>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</si>
  <si>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</si>
  <si>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</si>
  <si>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</si>
  <si>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</si>
  <si>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</si>
  <si>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</si>
  <si>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</si>
  <si>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</si>
  <si>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</si>
  <si>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</si>
  <si>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</si>
  <si>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</si>
  <si>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</si>
  <si>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</si>
  <si>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</si>
  <si>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</si>
  <si>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</si>
  <si>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</si>
  <si>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</si>
  <si>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</si>
  <si>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</si>
  <si>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</si>
  <si>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</si>
  <si>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</si>
  <si>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</si>
  <si>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</si>
  <si>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</si>
  <si>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</si>
  <si>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</si>
  <si>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</si>
  <si>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</si>
  <si>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</si>
  <si>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</si>
  <si>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</si>
  <si>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</si>
  <si>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</si>
  <si>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</si>
  <si>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</si>
  <si>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</si>
  <si>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</si>
  <si>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</si>
  <si>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</si>
  <si>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</si>
  <si>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</si>
  <si>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</si>
  <si>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</si>
  <si>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</si>
  <si>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</si>
  <si>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</si>
  <si>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</si>
  <si>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</si>
  <si>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Dontation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</si>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</sst>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4">
    <dxf>
      <font>
        <strike val="0"/>
      </font>
      <fill>
        <patternFill patternType="solid">
          <bgColor rgb="FF92D050"/>
        </patternFill>
      </fill>
    </dxf>
    <dxf>
      <fill>
        <patternFill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'Percents by Goal'!$A$2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Goal'!$B$2:$H$2</c15:sqref>
                  </c15:fullRef>
                </c:ext>
              </c:extLst>
              <c:f>'Percents by Goal'!$F$2:$H$2</c:f>
              <c:numCache>
                <c:formatCode>General</c:formatCode>
                <c:ptCount val="3"/>
                <c:pt idx="0">
                  <c:v>0.71081677704194257</c:v>
                </c:pt>
                <c:pt idx="1">
                  <c:v>0.24944812362030905</c:v>
                </c:pt>
                <c:pt idx="2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9-4CC5-810A-E4CEEB99514B}"/>
            </c:ext>
          </c:extLst>
        </c:ser>
        <c:ser>
          <c:idx val="1"/>
          <c:order val="1"/>
          <c:tx>
            <c:strRef>
              <c:f>'Percents by Goal'!$A$3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Goal'!$B$3:$H$3</c15:sqref>
                  </c15:fullRef>
                </c:ext>
              </c:extLst>
              <c:f>'Percents by Goal'!$F$3:$H$3</c:f>
              <c:numCache>
                <c:formatCode>General</c:formatCode>
                <c:ptCount val="3"/>
                <c:pt idx="0">
                  <c:v>0.66005665722379603</c:v>
                </c:pt>
                <c:pt idx="1">
                  <c:v>0.29745042492917845</c:v>
                </c:pt>
                <c:pt idx="2">
                  <c:v>4.2492917847025496E-2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69-4CC5-810A-E4CEEB99514B}"/>
            </c:ext>
          </c:extLst>
        </c:ser>
        <c:ser>
          <c:idx val="2"/>
          <c:order val="2"/>
          <c:tx>
            <c:strRef>
              <c:f>'Percents by Goal'!$A$4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Goal'!$B$4:$H$4</c15:sqref>
                  </c15:fullRef>
                </c:ext>
              </c:extLst>
              <c:f>'Percents by Goal'!$F$4:$H$4</c:f>
              <c:numCache>
                <c:formatCode>General</c:formatCode>
                <c:ptCount val="3"/>
                <c:pt idx="0">
                  <c:v>0.53212290502793291</c:v>
                </c:pt>
                <c:pt idx="1">
                  <c:v>0.39525139664804471</c:v>
                </c:pt>
                <c:pt idx="2">
                  <c:v>7.2625698324022353E-2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69-4CC5-810A-E4CEEB99514B}"/>
            </c:ext>
          </c:extLst>
        </c:ser>
        <c:ser>
          <c:idx val="3"/>
          <c:order val="3"/>
          <c:tx>
            <c:strRef>
              <c:f>'Percents by Goal'!$A$5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Goal'!$B$5:$H$5</c15:sqref>
                  </c15:fullRef>
                </c:ext>
              </c:extLst>
              <c:f>'Percents by Goal'!$F$5:$H$5</c:f>
              <c:numCache>
                <c:formatCode>General</c:formatCode>
                <c:ptCount val="3"/>
                <c:pt idx="0">
                  <c:v>0.47727272727272729</c:v>
                </c:pt>
                <c:pt idx="1">
                  <c:v>0.40909090909090912</c:v>
                </c:pt>
                <c:pt idx="2">
                  <c:v>0.11363636363636363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69-4CC5-810A-E4CEEB99514B}"/>
            </c:ext>
          </c:extLst>
        </c:ser>
        <c:ser>
          <c:idx val="4"/>
          <c:order val="4"/>
          <c:tx>
            <c:strRef>
              <c:f>'Percents by Goal'!$A$6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Goal'!$B$6:$H$6</c15:sqref>
                  </c15:fullRef>
                </c:ext>
              </c:extLst>
              <c:f>'Percents by Goal'!$F$6:$H$6</c:f>
              <c:numCache>
                <c:formatCode>General</c:formatCode>
                <c:ptCount val="3"/>
                <c:pt idx="0">
                  <c:v>0.46766169154228854</c:v>
                </c:pt>
                <c:pt idx="1">
                  <c:v>0.44776119402985076</c:v>
                </c:pt>
                <c:pt idx="2">
                  <c:v>8.45771144278607E-2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69-4CC5-810A-E4CEEB99514B}"/>
            </c:ext>
          </c:extLst>
        </c:ser>
        <c:ser>
          <c:idx val="5"/>
          <c:order val="5"/>
          <c:tx>
            <c:strRef>
              <c:f>'Percents by Goal'!$A$7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Goal'!$B$7:$H$7</c15:sqref>
                  </c15:fullRef>
                </c:ext>
              </c:extLst>
              <c:f>'Percents by Goal'!$F$7:$H$7</c:f>
              <c:numCache>
                <c:formatCode>General</c:formatCode>
                <c:ptCount val="3"/>
                <c:pt idx="0">
                  <c:v>0.41891891891891891</c:v>
                </c:pt>
                <c:pt idx="1">
                  <c:v>0.48648648648648651</c:v>
                </c:pt>
                <c:pt idx="2">
                  <c:v>9.45945945945946E-2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69-4CC5-810A-E4CEEB99514B}"/>
            </c:ext>
          </c:extLst>
        </c:ser>
        <c:ser>
          <c:idx val="6"/>
          <c:order val="6"/>
          <c:tx>
            <c:strRef>
              <c:f>'Percents by Goal'!$A$8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Goal'!$B$8:$H$8</c15:sqref>
                  </c15:fullRef>
                </c:ext>
              </c:extLst>
              <c:f>'Percents by Goal'!$F$8:$H$8</c:f>
              <c:numCache>
                <c:formatCode>General</c:formatCode>
                <c:ptCount val="3"/>
                <c:pt idx="0">
                  <c:v>0.40145985401459855</c:v>
                </c:pt>
                <c:pt idx="1">
                  <c:v>0.46715328467153283</c:v>
                </c:pt>
                <c:pt idx="2">
                  <c:v>0.13138686131386862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69-4CC5-810A-E4CEEB99514B}"/>
            </c:ext>
          </c:extLst>
        </c:ser>
        <c:ser>
          <c:idx val="7"/>
          <c:order val="7"/>
          <c:tx>
            <c:strRef>
              <c:f>'Percents by Goal'!$A$9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Goal'!$B$9:$H$9</c15:sqref>
                  </c15:fullRef>
                </c:ext>
              </c:extLst>
              <c:f>'Percents by Goal'!$F$9:$H$9</c:f>
              <c:numCache>
                <c:formatCode>General</c:formatCode>
                <c:ptCount val="3"/>
                <c:pt idx="0">
                  <c:v>0.3902439024390244</c:v>
                </c:pt>
                <c:pt idx="1">
                  <c:v>0.45121951219512196</c:v>
                </c:pt>
                <c:pt idx="2">
                  <c:v>0.15853658536585366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69-4CC5-810A-E4CEEB99514B}"/>
            </c:ext>
          </c:extLst>
        </c:ser>
        <c:ser>
          <c:idx val="8"/>
          <c:order val="8"/>
          <c:tx>
            <c:strRef>
              <c:f>'Percents by Goal'!$A$10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Goal'!$B$10:$H$10</c15:sqref>
                  </c15:fullRef>
                </c:ext>
              </c:extLst>
              <c:f>'Percents by Goal'!$F$10:$H$10</c:f>
              <c:numCache>
                <c:formatCode>General</c:formatCode>
                <c:ptCount val="3"/>
                <c:pt idx="0">
                  <c:v>0.47272727272727272</c:v>
                </c:pt>
                <c:pt idx="1">
                  <c:v>0.4</c:v>
                </c:pt>
                <c:pt idx="2">
                  <c:v>0.12727272727272726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69-4CC5-810A-E4CEEB99514B}"/>
            </c:ext>
          </c:extLst>
        </c:ser>
        <c:ser>
          <c:idx val="9"/>
          <c:order val="9"/>
          <c:tx>
            <c:strRef>
              <c:f>'Percents by Goal'!$A$11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Goal'!$B$11:$H$11</c15:sqref>
                  </c15:fullRef>
                </c:ext>
              </c:extLst>
              <c:f>'Percents by Goal'!$F$11:$H$11</c:f>
              <c:numCache>
                <c:formatCode>General</c:formatCode>
                <c:ptCount val="3"/>
                <c:pt idx="0">
                  <c:v>0.48837209302325579</c:v>
                </c:pt>
                <c:pt idx="1">
                  <c:v>0.37209302325581395</c:v>
                </c:pt>
                <c:pt idx="2">
                  <c:v>0.13953488372093023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69-4CC5-810A-E4CEEB99514B}"/>
            </c:ext>
          </c:extLst>
        </c:ser>
        <c:ser>
          <c:idx val="10"/>
          <c:order val="10"/>
          <c:tx>
            <c:strRef>
              <c:f>'Percents by Goal'!$A$12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Goal'!$B$12:$H$12</c15:sqref>
                  </c15:fullRef>
                </c:ext>
              </c:extLst>
              <c:f>'Percents by Goal'!$F$12:$H$12</c:f>
              <c:numCache>
                <c:formatCode>General</c:formatCode>
                <c:ptCount val="3"/>
                <c:pt idx="0">
                  <c:v>0.2857142857142857</c:v>
                </c:pt>
                <c:pt idx="1">
                  <c:v>0.52380952380952384</c:v>
                </c:pt>
                <c:pt idx="2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69-4CC5-810A-E4CEEB99514B}"/>
            </c:ext>
          </c:extLst>
        </c:ser>
        <c:ser>
          <c:idx val="11"/>
          <c:order val="11"/>
          <c:tx>
            <c:strRef>
              <c:f>'Percents by Goal'!$A$13</c:f>
              <c:strCache>
                <c:ptCount val="1"/>
                <c:pt idx="0">
                  <c:v>Greater than or equal to 50000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'Percents by Goal'!$B$1:$H$1</c15:sqref>
                  </c15:fullRef>
                </c:ext>
              </c:extLst>
              <c:f>'Percents by Goal'!$F$1:$H$1</c:f>
              <c:strCache>
                <c:ptCount val="3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'Percents by Goal'!$B$13:$H$13</c15:sqref>
                  </c15:fullRef>
                </c:ext>
              </c:extLst>
              <c:f>'Percents by Goal'!$F$13:$H$13</c:f>
              <c:numCache>
                <c:formatCode>General</c:formatCode>
                <c:ptCount val="3"/>
                <c:pt idx="0">
                  <c:v>0.19369369369369369</c:v>
                </c:pt>
                <c:pt idx="1">
                  <c:v>0.58108108108108103</c:v>
                </c:pt>
                <c:pt idx="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669-4CC5-810A-E4CEEB995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374063"/>
        <c:axId val="710106991"/>
      </c:lineChart>
      <c:catAx>
        <c:axId val="468374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Success/Fail/Cancel</a:t>
                </a:r>
              </a:p>
            </c:rich>
          </c:tx>
          <c:layout>
            <c:manualLayout>
              <c:xMode val="edge"/>
              <c:yMode val="edge"/>
              <c:x val="0.40473657863367712"/>
              <c:y val="0.78038458581798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06991"/>
        <c:crosses val="autoZero"/>
        <c:auto val="1"/>
        <c:lblAlgn val="ctr"/>
        <c:lblOffset val="100"/>
        <c:noMultiLvlLbl val="0"/>
      </c:catAx>
      <c:valAx>
        <c:axId val="71010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1-4E74-A890-DDC7515337DC}"/>
            </c:ext>
          </c:extLst>
        </c:ser>
        <c:ser>
          <c:idx val="1"/>
          <c:order val="1"/>
          <c:tx>
            <c:strRef>
              <c:f>'Launch 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B1-4E74-A890-DDC7515337DC}"/>
            </c:ext>
          </c:extLst>
        </c:ser>
        <c:ser>
          <c:idx val="2"/>
          <c:order val="2"/>
          <c:tx>
            <c:strRef>
              <c:f>'Launch 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B1-4E74-A890-DDC7515337DC}"/>
            </c:ext>
          </c:extLst>
        </c:ser>
        <c:ser>
          <c:idx val="3"/>
          <c:order val="3"/>
          <c:tx>
            <c:strRef>
              <c:f>'Launch 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B1-4E74-A890-DDC751533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677871"/>
        <c:axId val="470463647"/>
      </c:lineChart>
      <c:catAx>
        <c:axId val="61067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63647"/>
        <c:crosses val="autoZero"/>
        <c:auto val="1"/>
        <c:lblAlgn val="ctr"/>
        <c:lblOffset val="100"/>
        <c:noMultiLvlLbl val="0"/>
      </c:catAx>
      <c:valAx>
        <c:axId val="47046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7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[StarterBook.xlsx]Main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  <a:r>
              <a:rPr lang="en-US" baseline="0"/>
              <a:t> State Per Category</a:t>
            </a:r>
          </a:p>
        </c:rich>
      </c:tx>
      <c:layout>
        <c:manualLayout>
          <c:xMode val="edge"/>
          <c:yMode val="edge"/>
          <c:x val="0.43842195560728925"/>
          <c:y val="6.2239146336216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'Main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'Main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6-4247-A136-4FF8050DBE19}"/>
            </c:ext>
          </c:extLst>
        </c:ser>
        <c:ser>
          <c:idx val="1"/>
          <c:order val="1"/>
          <c:tx>
            <c:strRef>
              <c:f>'Main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'Main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F6-4247-A136-4FF8050DBE19}"/>
            </c:ext>
          </c:extLst>
        </c:ser>
        <c:ser>
          <c:idx val="2"/>
          <c:order val="2"/>
          <c:tx>
            <c:strRef>
              <c:f>'Main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'Main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F6-4247-A136-4FF8050DBE19}"/>
            </c:ext>
          </c:extLst>
        </c:ser>
        <c:ser>
          <c:idx val="3"/>
          <c:order val="3"/>
          <c:tx>
            <c:strRef>
              <c:f>'Main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'Main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F6-4247-A136-4FF8050DB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66015"/>
        <c:axId val="470462399"/>
      </c:barChart>
      <c:catAx>
        <c:axId val="21066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62399"/>
        <c:crosses val="autoZero"/>
        <c:auto val="1"/>
        <c:lblAlgn val="ctr"/>
        <c:lblOffset val="100"/>
        <c:noMultiLvlLbl val="0"/>
      </c:catAx>
      <c:valAx>
        <c:axId val="4704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B-4788-8339-0754D42DC80A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B-4788-8339-0754D42DC80A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B-4788-8339-0754D42DC80A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FB-4788-8339-0754D42DC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121535"/>
        <c:axId val="470463231"/>
      </c:barChart>
      <c:catAx>
        <c:axId val="47112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63231"/>
        <c:crosses val="autoZero"/>
        <c:auto val="1"/>
        <c:lblAlgn val="ctr"/>
        <c:lblOffset val="100"/>
        <c:noMultiLvlLbl val="0"/>
      </c:catAx>
      <c:valAx>
        <c:axId val="47046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2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1762124</xdr:colOff>
      <xdr:row>13</xdr:row>
      <xdr:rowOff>171450</xdr:rowOff>
    </xdr:from>
    <xdr:to>
      <xdr:col>8</xdr:col>
      <xdr:colOff>495299</xdr:colOff>
      <xdr:row>37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D4745E-3D76-4E86-B9F9-4ED485758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66675</xdr:rowOff>
    </xdr:from>
    <xdr:to>
      <xdr:col>14</xdr:col>
      <xdr:colOff>133350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0DF5C-6D1B-4CDF-8C6B-613D153B0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4</xdr:row>
      <xdr:rowOff>171450</xdr:rowOff>
    </xdr:from>
    <xdr:to>
      <xdr:col>19</xdr:col>
      <xdr:colOff>23812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7D6CB-9A53-45D4-87B6-F3FA3C8D9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161925</xdr:rowOff>
    </xdr:from>
    <xdr:to>
      <xdr:col>22</xdr:col>
      <xdr:colOff>600075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FD284-0803-4E06-BC67-B776C0F68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ili Chou" refreshedDate="44107.920372569446" createdVersion="6" refreshedVersion="6" minRefreshableVersion="3" recordCount="4114" xr:uid="{BB6AAE3A-C4B9-4215-891A-AB03C9B48D6A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t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ili Chou" refreshedDate="44107.927825347222" createdVersion="6" refreshedVersion="6" minRefreshableVersion="3" recordCount="4115" xr:uid="{0AF416EB-8F28-401A-9E57-E45B42DA12C4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t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E0C2C-35D6-41D5-8291-34FFD83BE33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E1A4B-8307-41D0-8B3C-EC2749BC4AB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E133A-5461-43C1-BB13-DA43E64C91F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S4115" sqref="S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85546875" customWidth="1"/>
    <col min="16" max="16" width="25" customWidth="1"/>
    <col min="17" max="17" width="18.42578125" customWidth="1"/>
    <col min="18" max="18" width="15.140625" customWidth="1"/>
    <col min="19" max="19" width="32.5703125" customWidth="1"/>
    <col min="20" max="20" width="24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 * 100</f>
        <v>136.85882352941178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 * 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 * 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 * 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 * 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 * 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 * 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 * 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 * 100</f>
        <v>2.25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 * 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 * 100</f>
        <v>0.2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 * 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 * 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 * 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 * 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 * 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 * 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 * 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 * 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 * 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 * 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 * 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 * 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 * 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 * 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 * 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 * 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 * 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 * 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 * 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 * 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 * 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 * 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 * 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 * 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 * 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 * 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 * 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 * 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 * 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 * 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 * 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 * 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 * 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 * 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 * 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 * 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 * 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 * 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 * 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 * 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 * 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 * 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 * 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 * 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 * 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 * 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 * 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 * 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 * 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 * 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 * 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 * 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 * 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 * 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 * 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50"/>
        <cfvo type="max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F6BB2-5A96-4087-BBAB-D2FBBC93D316}">
  <dimension ref="A1:H13"/>
  <sheetViews>
    <sheetView tabSelected="1" workbookViewId="0">
      <selection activeCell="K31" sqref="K31:K32"/>
    </sheetView>
  </sheetViews>
  <sheetFormatPr defaultRowHeight="15" x14ac:dyDescent="0.25"/>
  <cols>
    <col min="1" max="1" width="28" customWidth="1"/>
    <col min="2" max="2" width="19.7109375" customWidth="1"/>
    <col min="3" max="3" width="20.28515625" customWidth="1"/>
    <col min="4" max="4" width="17.140625" customWidth="1"/>
    <col min="5" max="5" width="16" customWidth="1"/>
    <col min="6" max="6" width="22.28515625" customWidth="1"/>
    <col min="7" max="7" width="13.85546875" customWidth="1"/>
    <col min="8" max="8" width="17.28515625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5" t="s">
        <v>8388</v>
      </c>
      <c r="B2">
        <f>COUNTIFS('Main Data'!$F:$F, "successful", 'Main Data'!$D:$D, "&lt; 1000")</f>
        <v>322</v>
      </c>
      <c r="C2">
        <f>COUNTIFS('Main Data'!$F:$F, "failed", 'Main Data'!$D:$D, "&lt; 1000")</f>
        <v>113</v>
      </c>
      <c r="D2">
        <f>COUNTIFS('Main Data'!$F:$F, "canceled", 'Main Data'!$D:$D, "&lt; 1000")</f>
        <v>18</v>
      </c>
      <c r="E2">
        <f>B2+C2+D2</f>
        <v>453</v>
      </c>
      <c r="F2">
        <f>B2/E2</f>
        <v>0.71081677704194257</v>
      </c>
      <c r="G2">
        <f>C2/E2</f>
        <v>0.24944812362030905</v>
      </c>
      <c r="H2">
        <f>D2/E2</f>
        <v>3.9735099337748346E-2</v>
      </c>
    </row>
    <row r="3" spans="1:8" x14ac:dyDescent="0.25">
      <c r="A3" s="5" t="s">
        <v>8389</v>
      </c>
      <c r="B3">
        <f>COUNTIFS('Main Data'!$F:$F,"successful",'Main Data'!$D:$D, "&gt;999",'Main Data'!$D:$D, "&lt;5000")</f>
        <v>932</v>
      </c>
      <c r="C3">
        <f>COUNTIFS('Main Data'!$F:$F,"failed",'Main Data'!$D:$D, "&gt;999",'Main Data'!$D:$D, "&lt;5000")</f>
        <v>420</v>
      </c>
      <c r="D3">
        <f>COUNTIFS('Main Data'!$F:$F,"canceled",'Main Data'!$D:$D, "&gt;999",'Main Data'!$D:$D, "&lt;5000")</f>
        <v>60</v>
      </c>
      <c r="E3">
        <f t="shared" ref="E3:E13" si="0">B3+C3+D3</f>
        <v>1412</v>
      </c>
      <c r="F3">
        <f t="shared" ref="F3:F13" si="1">B3/E3</f>
        <v>0.66005665722379603</v>
      </c>
      <c r="G3">
        <f t="shared" ref="G3:G13" si="2">C3/E3</f>
        <v>0.29745042492917845</v>
      </c>
      <c r="H3">
        <f t="shared" ref="H3:H13" si="3">D3/E3</f>
        <v>4.2492917847025496E-2</v>
      </c>
    </row>
    <row r="4" spans="1:8" x14ac:dyDescent="0.25">
      <c r="A4" s="5" t="s">
        <v>8390</v>
      </c>
      <c r="B4">
        <f>COUNTIFS('Main Data'!$F:$F,"successful",'Main Data'!$D:$D, "&gt;4999",'Main Data'!$D:$D, "&lt;10000")</f>
        <v>381</v>
      </c>
      <c r="C4">
        <f>COUNTIFS('Main Data'!$F:$F,"failed",'Main Data'!$D:$D, "&gt;4999",'Main Data'!$D:$D, "&lt;10000")</f>
        <v>283</v>
      </c>
      <c r="D4">
        <f>COUNTIFS('Main Data'!$F:$F,"canceled",'Main Data'!$D:$D, "&gt;4999",'Main Data'!$D:$D, "&lt;10000")</f>
        <v>52</v>
      </c>
      <c r="E4">
        <f t="shared" si="0"/>
        <v>716</v>
      </c>
      <c r="F4">
        <f t="shared" si="1"/>
        <v>0.53212290502793291</v>
      </c>
      <c r="G4">
        <f t="shared" si="2"/>
        <v>0.39525139664804471</v>
      </c>
      <c r="H4">
        <f t="shared" si="3"/>
        <v>7.2625698324022353E-2</v>
      </c>
    </row>
    <row r="5" spans="1:8" x14ac:dyDescent="0.25">
      <c r="A5" s="5" t="s">
        <v>8391</v>
      </c>
      <c r="B5">
        <f>COUNTIFS('Main Data'!$F:$F,"successful",'Main Data'!$D:$D, "&gt;9999",'Main Data'!$D:$D, "&lt;15000")</f>
        <v>168</v>
      </c>
      <c r="C5">
        <f>COUNTIFS('Main Data'!$F:$F,"failed",'Main Data'!$D:$D, "&gt;9999",'Main Data'!$D:$D, "&lt;15000")</f>
        <v>144</v>
      </c>
      <c r="D5">
        <f>COUNTIFS('Main Data'!$F:$F,"canceled",'Main Data'!$D:$D, "&gt;9999",'Main Data'!$D:$D, "&lt;15000")</f>
        <v>40</v>
      </c>
      <c r="E5">
        <f t="shared" si="0"/>
        <v>352</v>
      </c>
      <c r="F5">
        <f t="shared" si="1"/>
        <v>0.47727272727272729</v>
      </c>
      <c r="G5">
        <f t="shared" si="2"/>
        <v>0.40909090909090912</v>
      </c>
      <c r="H5">
        <f t="shared" si="3"/>
        <v>0.11363636363636363</v>
      </c>
    </row>
    <row r="6" spans="1:8" x14ac:dyDescent="0.25">
      <c r="A6" s="5" t="s">
        <v>8392</v>
      </c>
      <c r="B6">
        <f>COUNTIFS('Main Data'!$F:$F,"successful",'Main Data'!$D:$D, "&gt;14999",'Main Data'!$D:$D, "&lt;20000")</f>
        <v>94</v>
      </c>
      <c r="C6">
        <f>COUNTIFS('Main Data'!$F:$F,"failed",'Main Data'!$D:$D, "&gt;14999",'Main Data'!$D:$D, "&lt;20000")</f>
        <v>90</v>
      </c>
      <c r="D6">
        <f>COUNTIFS('Main Data'!$F:$F,"canceled",'Main Data'!$D:$D, "&gt;14999",'Main Data'!$D:$D, "&lt;20000")</f>
        <v>17</v>
      </c>
      <c r="E6">
        <f t="shared" si="0"/>
        <v>201</v>
      </c>
      <c r="F6">
        <f t="shared" si="1"/>
        <v>0.46766169154228854</v>
      </c>
      <c r="G6">
        <f t="shared" si="2"/>
        <v>0.44776119402985076</v>
      </c>
      <c r="H6">
        <f t="shared" si="3"/>
        <v>8.45771144278607E-2</v>
      </c>
    </row>
    <row r="7" spans="1:8" x14ac:dyDescent="0.25">
      <c r="A7" s="5" t="s">
        <v>8393</v>
      </c>
      <c r="B7">
        <f>COUNTIFS('Main Data'!$F:$F,"successful",'Main Data'!$D:$D, "&gt;19999",'Main Data'!$D:$D, "&lt;25000")</f>
        <v>62</v>
      </c>
      <c r="C7">
        <f>COUNTIFS('Main Data'!$F:$F,"failed",'Main Data'!$D:$D, "&gt;19999",'Main Data'!$D:$D, "&lt;25000")</f>
        <v>72</v>
      </c>
      <c r="D7">
        <f>COUNTIFS('Main Data'!$F:$F,"canceled",'Main Data'!$D:$D, "&gt;19999",'Main Data'!$D:$D, "&lt;25000")</f>
        <v>14</v>
      </c>
      <c r="E7">
        <f t="shared" si="0"/>
        <v>148</v>
      </c>
      <c r="F7">
        <f t="shared" si="1"/>
        <v>0.41891891891891891</v>
      </c>
      <c r="G7">
        <f t="shared" si="2"/>
        <v>0.48648648648648651</v>
      </c>
      <c r="H7">
        <f t="shared" si="3"/>
        <v>9.45945945945946E-2</v>
      </c>
    </row>
    <row r="8" spans="1:8" x14ac:dyDescent="0.25">
      <c r="A8" s="5" t="s">
        <v>8394</v>
      </c>
      <c r="B8">
        <f>COUNTIFS('Main Data'!$F:$F,"successful",'Main Data'!$D:$D, "&gt;24999",'Main Data'!$D:$D, "&lt;30000")</f>
        <v>55</v>
      </c>
      <c r="C8">
        <f>COUNTIFS('Main Data'!$F:$F,"failed",'Main Data'!$D:$D, "&gt;24999",'Main Data'!$D:$D, "&lt;30000")</f>
        <v>64</v>
      </c>
      <c r="D8">
        <f>COUNTIFS('Main Data'!$F:$F,"canceled",'Main Data'!$D:$D, "&gt;24999",'Main Data'!$D:$D, "&lt;30000")</f>
        <v>18</v>
      </c>
      <c r="E8">
        <f t="shared" si="0"/>
        <v>137</v>
      </c>
      <c r="F8">
        <f t="shared" si="1"/>
        <v>0.40145985401459855</v>
      </c>
      <c r="G8">
        <f t="shared" si="2"/>
        <v>0.46715328467153283</v>
      </c>
      <c r="H8">
        <f t="shared" si="3"/>
        <v>0.13138686131386862</v>
      </c>
    </row>
    <row r="9" spans="1:8" x14ac:dyDescent="0.25">
      <c r="A9" s="5" t="s">
        <v>8395</v>
      </c>
      <c r="B9">
        <f>COUNTIFS('Main Data'!$F:$F,"successful",'Main Data'!$D:$D, "&gt;29999",'Main Data'!$D:$D, "&lt;35000")</f>
        <v>32</v>
      </c>
      <c r="C9">
        <f>COUNTIFS('Main Data'!$F:$F,"failed",'Main Data'!$D:$D, "&gt;29999",'Main Data'!$D:$D, "&lt;35000")</f>
        <v>37</v>
      </c>
      <c r="D9">
        <f>COUNTIFS('Main Data'!$F:$F,"canceled",'Main Data'!$D:$D, "&gt;29999",'Main Data'!$D:$D, "&lt;35000")</f>
        <v>13</v>
      </c>
      <c r="E9">
        <f t="shared" si="0"/>
        <v>82</v>
      </c>
      <c r="F9">
        <f t="shared" si="1"/>
        <v>0.3902439024390244</v>
      </c>
      <c r="G9">
        <f t="shared" si="2"/>
        <v>0.45121951219512196</v>
      </c>
      <c r="H9">
        <f t="shared" si="3"/>
        <v>0.15853658536585366</v>
      </c>
    </row>
    <row r="10" spans="1:8" x14ac:dyDescent="0.25">
      <c r="A10" s="5" t="s">
        <v>8396</v>
      </c>
      <c r="B10">
        <f>COUNTIFS('Main Data'!$F:$F,"successful",'Main Data'!$D:$D, "&gt;34999",'Main Data'!$D:$D, "&lt;40000")</f>
        <v>26</v>
      </c>
      <c r="C10">
        <f>COUNTIFS('Main Data'!$F:$F,"failed",'Main Data'!$D:$D, "&gt;34999",'Main Data'!$D:$D, "&lt;40000")</f>
        <v>22</v>
      </c>
      <c r="D10">
        <f>COUNTIFS('Main Data'!$F:$F,"canceled",'Main Data'!$D:$D, "&gt;34999",'Main Data'!$D:$D, "&lt;40000")</f>
        <v>7</v>
      </c>
      <c r="E10">
        <f t="shared" si="0"/>
        <v>55</v>
      </c>
      <c r="F10">
        <f t="shared" si="1"/>
        <v>0.47272727272727272</v>
      </c>
      <c r="G10">
        <f t="shared" si="2"/>
        <v>0.4</v>
      </c>
      <c r="H10">
        <f t="shared" si="3"/>
        <v>0.12727272727272726</v>
      </c>
    </row>
    <row r="11" spans="1:8" x14ac:dyDescent="0.25">
      <c r="A11" s="5" t="s">
        <v>8397</v>
      </c>
      <c r="B11">
        <f>COUNTIFS('Main Data'!$F:$F,"successful",'Main Data'!$D:$D, "&gt;39999",'Main Data'!$D:$D, "&lt;45000")</f>
        <v>21</v>
      </c>
      <c r="C11">
        <f>COUNTIFS('Main Data'!$F:$F,"failed",'Main Data'!$D:$D, "&gt;39999",'Main Data'!$D:$D, "&lt;45000")</f>
        <v>16</v>
      </c>
      <c r="D11">
        <f>COUNTIFS('Main Data'!$F:$F,"canceled",'Main Data'!$D:$D, "&gt;39999",'Main Data'!$D:$D, "&lt;45000")</f>
        <v>6</v>
      </c>
      <c r="E11">
        <f t="shared" si="0"/>
        <v>43</v>
      </c>
      <c r="F11">
        <f t="shared" si="1"/>
        <v>0.48837209302325579</v>
      </c>
      <c r="G11">
        <f t="shared" si="2"/>
        <v>0.37209302325581395</v>
      </c>
      <c r="H11">
        <f t="shared" si="3"/>
        <v>0.13953488372093023</v>
      </c>
    </row>
    <row r="12" spans="1:8" x14ac:dyDescent="0.25">
      <c r="A12" s="5" t="s">
        <v>8398</v>
      </c>
      <c r="B12">
        <f>COUNTIFS('Main Data'!$F:$F,"successful",'Main Data'!$D:$D, "&gt;44999",'Main Data'!$D:$D, "&lt;50000")</f>
        <v>6</v>
      </c>
      <c r="C12">
        <f>COUNTIFS('Main Data'!$F:$F,"failed",'Main Data'!$D:$D, "&gt;44999",'Main Data'!$D:$D, "&lt;50000")</f>
        <v>11</v>
      </c>
      <c r="D12">
        <f>COUNTIFS('Main Data'!$F:$F,"canceled",'Main Data'!$D:$D, "&gt;44999",'Main Data'!$D:$D, "&lt;50000")</f>
        <v>4</v>
      </c>
      <c r="E12">
        <f t="shared" si="0"/>
        <v>21</v>
      </c>
      <c r="F12">
        <f t="shared" si="1"/>
        <v>0.2857142857142857</v>
      </c>
      <c r="G12">
        <f t="shared" si="2"/>
        <v>0.52380952380952384</v>
      </c>
      <c r="H12">
        <f t="shared" si="3"/>
        <v>0.19047619047619047</v>
      </c>
    </row>
    <row r="13" spans="1:8" x14ac:dyDescent="0.25">
      <c r="A13" s="5" t="s">
        <v>8399</v>
      </c>
      <c r="B13">
        <f>COUNTIFS('Main Data'!$F:$F,"successful",'Main Data'!$D:$D, "&gt;49999")</f>
        <v>86</v>
      </c>
      <c r="C13">
        <f>COUNTIFS('Main Data'!$F:$F,"failed",'Main Data'!$D:$D, "&gt;49999")</f>
        <v>258</v>
      </c>
      <c r="D13">
        <f>COUNTIFS('Main Data'!$F:$F,"canceled",'Main Data'!$D:$D, "&gt;49999")</f>
        <v>100</v>
      </c>
      <c r="E13">
        <f t="shared" si="0"/>
        <v>444</v>
      </c>
      <c r="F13">
        <f t="shared" si="1"/>
        <v>0.19369369369369369</v>
      </c>
      <c r="G13">
        <f t="shared" si="2"/>
        <v>0.58108108108108103</v>
      </c>
      <c r="H13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ABFD-BDE0-4ADC-BB6D-BDA8AA1C067F}">
  <dimension ref="A1:F18"/>
  <sheetViews>
    <sheetView workbookViewId="0">
      <selection activeCell="P17" sqref="P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8379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7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7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7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7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7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7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7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7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7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A43F6-E90B-4308-B3F7-AD503F144997}">
  <dimension ref="A1:F14"/>
  <sheetViews>
    <sheetView workbookViewId="0">
      <selection activeCell="A4" sqref="A4"/>
      <pivotSelection pane="bottomRight" activeRow="4" click="2" r:id="rId1">
        <pivotArea field="16" type="button" dataOnly="0" labelOnly="1" outline="0" axis="axisRow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1E821-4A2D-4C4F-831A-3E16D9D00C68}">
  <dimension ref="A1:F47"/>
  <sheetViews>
    <sheetView topLeftCell="A4" workbookViewId="0">
      <selection activeCell="U18" sqref="U1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Percents by Goal</vt:lpstr>
      <vt:lpstr>Launch Date Pivot</vt:lpstr>
      <vt:lpstr>Main Category Pivot</vt:lpstr>
      <vt:lpstr>Sub 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Beili Chou</cp:lastModifiedBy>
  <dcterms:created xsi:type="dcterms:W3CDTF">2017-04-20T15:17:24Z</dcterms:created>
  <dcterms:modified xsi:type="dcterms:W3CDTF">2020-10-04T03:07:49Z</dcterms:modified>
</cp:coreProperties>
</file>