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Code Fiber\"/>
    </mc:Choice>
  </mc:AlternateContent>
  <xr:revisionPtr revIDLastSave="0" documentId="13_ncr:40009_{F084AD51-C05D-4C90-B81C-99797EC33CE7}" xr6:coauthVersionLast="46" xr6:coauthVersionMax="46" xr10:uidLastSave="{00000000-0000-0000-0000-000000000000}"/>
  <bookViews>
    <workbookView xWindow="-120" yWindow="-120" windowWidth="29040" windowHeight="15840" activeTab="5"/>
  </bookViews>
  <sheets>
    <sheet name="Notes" sheetId="30" r:id="rId1"/>
    <sheet name="850S62_160" sheetId="35" r:id="rId2"/>
    <sheet name="850S62_200" sheetId="36" r:id="rId3"/>
    <sheet name="850S50_400" sheetId="37" r:id="rId4"/>
    <sheet name="850S50_500" sheetId="31" r:id="rId5"/>
    <sheet name="850S2000" sheetId="33" r:id="rId6"/>
    <sheet name="Inputs" sheetId="40" r:id="rId7"/>
    <sheet name="LX4_62MMF" sheetId="38" r:id="rId8"/>
    <sheet name="LX4_SMF" sheetId="34" r:id="rId9"/>
    <sheet name="1310S" sheetId="27" r:id="rId10"/>
    <sheet name="1550S30km" sheetId="32" r:id="rId11"/>
    <sheet name="1550S40km" sheetId="39" r:id="rId12"/>
  </sheets>
  <definedNames>
    <definedName name="B_1" localSheetId="10">'1550S30km'!$AB$3</definedName>
    <definedName name="B_1" localSheetId="11">'1550S40km'!$AB$3</definedName>
    <definedName name="B_1" localSheetId="5">'850S2000'!$AB$3</definedName>
    <definedName name="B_1" localSheetId="3">'850S50_400'!$AB$3</definedName>
    <definedName name="B_1" localSheetId="4">'850S50_500'!$AB$3</definedName>
    <definedName name="B_1" localSheetId="1">'850S62_160'!$AB$3</definedName>
    <definedName name="B_1" localSheetId="2">'850S62_200'!$AB$3</definedName>
    <definedName name="B_1" localSheetId="7">LX4_62MMF!$AB$3</definedName>
    <definedName name="B_1" localSheetId="8">LX4_SMF!$AB$3</definedName>
    <definedName name="B_1">'1310S'!$AB$3</definedName>
    <definedName name="C_1" localSheetId="10">'1550S30km'!$L$9</definedName>
    <definedName name="C_1" localSheetId="11">'1550S40km'!$L$9</definedName>
    <definedName name="C_1" localSheetId="5">'850S2000'!$L$9</definedName>
    <definedName name="C_1" localSheetId="3">'850S50_400'!$L$9</definedName>
    <definedName name="C_1" localSheetId="4">'850S50_500'!$L$9</definedName>
    <definedName name="C_1" localSheetId="1">'850S62_160'!$L$9</definedName>
    <definedName name="C_1" localSheetId="2">'850S62_200'!$L$9</definedName>
    <definedName name="C_1" localSheetId="7">LX4_62MMF!$L$9</definedName>
    <definedName name="C_1" localSheetId="8">LX4_SMF!$L$9</definedName>
    <definedName name="C_1">'1310S'!$L$9</definedName>
    <definedName name="ER" localSheetId="10">'1550S30km'!$AB$6</definedName>
    <definedName name="ER" localSheetId="11">'1550S40km'!$AB$6</definedName>
    <definedName name="ER" localSheetId="5">'850S2000'!$AB$6</definedName>
    <definedName name="ER" localSheetId="3">'850S50_400'!$AB$6</definedName>
    <definedName name="ER" localSheetId="4">'850S50_500'!$AB$6</definedName>
    <definedName name="ER" localSheetId="1">'850S62_160'!$AB$6</definedName>
    <definedName name="ER" localSheetId="2">'850S62_200'!$AB$6</definedName>
    <definedName name="ER" localSheetId="7">LX4_62MMF!$AB$6</definedName>
    <definedName name="ER" localSheetId="8">LX4_SMF!$AB$6</definedName>
    <definedName name="ER">'1310S'!$AB$6</definedName>
    <definedName name="kRIN" localSheetId="10">'1550S30km'!$G$6</definedName>
    <definedName name="kRIN" localSheetId="11">'1550S40km'!$G$6</definedName>
    <definedName name="kRIN" localSheetId="5">'850S2000'!$G$6</definedName>
    <definedName name="kRIN" localSheetId="3">'850S50_400'!$G$6</definedName>
    <definedName name="kRIN" localSheetId="4">'850S50_500'!$G$6</definedName>
    <definedName name="kRIN" localSheetId="1">'850S62_160'!$G$6</definedName>
    <definedName name="kRIN" localSheetId="2">'850S62_200'!$G$6</definedName>
    <definedName name="kRIN" localSheetId="7">LX4_62MMF!$G$6</definedName>
    <definedName name="kRIN" localSheetId="8">LX4_SMF!$G$6</definedName>
    <definedName name="kRIN">'1310S'!$G$6</definedName>
    <definedName name="Pmn" localSheetId="10">'1550S30km'!$G$13</definedName>
    <definedName name="Pmn" localSheetId="11">'1550S40km'!$G$13</definedName>
    <definedName name="Pmn" localSheetId="5">'850S2000'!$G$13</definedName>
    <definedName name="Pmn" localSheetId="3">'850S50_400'!$G$13</definedName>
    <definedName name="Pmn" localSheetId="4">'850S50_500'!$G$13</definedName>
    <definedName name="Pmn" localSheetId="1">'850S62_160'!$G$13</definedName>
    <definedName name="Pmn" localSheetId="2">'850S62_200'!$G$13</definedName>
    <definedName name="Pmn" localSheetId="7">LX4_62MMF!$G$13</definedName>
    <definedName name="Pmn" localSheetId="8">LX4_SMF!$G$13</definedName>
    <definedName name="Pmn">'1310S'!$G$13</definedName>
    <definedName name="_xlnm.Print_Area" localSheetId="9">'1310S'!$A$1:$X$52</definedName>
    <definedName name="_xlnm.Print_Area" localSheetId="10">'1550S30km'!$A$1:$X$52</definedName>
    <definedName name="_xlnm.Print_Area" localSheetId="11">'1550S40km'!$A$1:$X$52</definedName>
    <definedName name="_xlnm.Print_Area" localSheetId="5">'850S2000'!$A$1:$X$52</definedName>
    <definedName name="_xlnm.Print_Area" localSheetId="3">'850S50_400'!$A$1:$X$52</definedName>
    <definedName name="_xlnm.Print_Area" localSheetId="4">'850S50_500'!$A$1:$X$52</definedName>
    <definedName name="_xlnm.Print_Area" localSheetId="1">'850S62_160'!$A$1:$X$52</definedName>
    <definedName name="_xlnm.Print_Area" localSheetId="2">'850S62_200'!$A$1:$X$52</definedName>
    <definedName name="_xlnm.Print_Area" localSheetId="7">LX4_62MMF!$A$1:$X$52</definedName>
    <definedName name="_xlnm.Print_Area" localSheetId="8">LX4_SMF!$A$1:$X$52</definedName>
    <definedName name="PRINT_AREA_MI" localSheetId="9">'1310S'!$A$5:$H$33</definedName>
    <definedName name="PRINT_AREA_MI" localSheetId="10">'1550S30km'!$A$5:$H$33</definedName>
    <definedName name="PRINT_AREA_MI" localSheetId="11">'1550S40km'!$A$5:$H$33</definedName>
    <definedName name="PRINT_AREA_MI" localSheetId="5">'850S2000'!$A$5:$H$33</definedName>
    <definedName name="PRINT_AREA_MI" localSheetId="3">'850S50_400'!$A$5:$H$33</definedName>
    <definedName name="PRINT_AREA_MI" localSheetId="4">'850S50_500'!$A$5:$H$33</definedName>
    <definedName name="PRINT_AREA_MI" localSheetId="1">'850S62_160'!$A$5:$H$33</definedName>
    <definedName name="PRINT_AREA_MI" localSheetId="2">'850S62_200'!$A$5:$H$33</definedName>
    <definedName name="PRINT_AREA_MI" localSheetId="7">LX4_62MMF!$A$5:$H$33</definedName>
    <definedName name="PRINT_AREA_MI" localSheetId="8">LX4_SMF!$A$5:$H$33</definedName>
    <definedName name="PRINT_AREA_MI">#REF!</definedName>
    <definedName name="Q" localSheetId="10">'1550S30km'!$C$3</definedName>
    <definedName name="Q" localSheetId="11">'1550S40km'!$C$3</definedName>
    <definedName name="Q" localSheetId="5">'850S2000'!$C$3</definedName>
    <definedName name="Q" localSheetId="3">'850S50_400'!$C$3</definedName>
    <definedName name="Q" localSheetId="4">'850S50_500'!$C$3</definedName>
    <definedName name="Q" localSheetId="1">'850S62_160'!$C$3</definedName>
    <definedName name="Q" localSheetId="2">'850S62_200'!$C$3</definedName>
    <definedName name="Q" localSheetId="7">LX4_62MMF!$C$3</definedName>
    <definedName name="Q" localSheetId="8">LX4_SMF!$C$3</definedName>
    <definedName name="Q">'1310S'!$C$3</definedName>
    <definedName name="SD_blw" localSheetId="10">'1550S30km'!$T$10</definedName>
    <definedName name="SD_blw" localSheetId="11">'1550S40km'!$T$10</definedName>
    <definedName name="SD_blw" localSheetId="5">'850S2000'!$T$10</definedName>
    <definedName name="SD_blw" localSheetId="3">'850S50_400'!$T$10</definedName>
    <definedName name="SD_blw" localSheetId="4">'850S50_500'!$T$10</definedName>
    <definedName name="SD_blw" localSheetId="1">'850S62_160'!$T$10</definedName>
    <definedName name="SD_blw" localSheetId="2">'850S62_200'!$T$10</definedName>
    <definedName name="SD_blw" localSheetId="7">LX4_62MMF!$T$10</definedName>
    <definedName name="SD_blw" localSheetId="8">LX4_SMF!$T$10</definedName>
    <definedName name="SD_blw">'1310S'!$T$10</definedName>
    <definedName name="Tb_eff" localSheetId="10">'1550S30km'!$L$12</definedName>
    <definedName name="Tb_eff" localSheetId="11">'1550S40km'!$L$12</definedName>
    <definedName name="Tb_eff" localSheetId="5">'850S2000'!$L$12</definedName>
    <definedName name="Tb_eff" localSheetId="3">'850S50_400'!$L$12</definedName>
    <definedName name="Tb_eff" localSheetId="4">'850S50_500'!$L$12</definedName>
    <definedName name="Tb_eff" localSheetId="1">'850S62_160'!$L$12</definedName>
    <definedName name="Tb_eff" localSheetId="2">'850S62_200'!$L$12</definedName>
    <definedName name="Tb_eff" localSheetId="7">LX4_62MMF!$L$12</definedName>
    <definedName name="Tb_eff" localSheetId="8">LX4_SMF!$L$12</definedName>
    <definedName name="Tb_eff">'1310S'!$L$12</definedName>
    <definedName name="Uc" localSheetId="10">'1550S30km'!$C$6</definedName>
    <definedName name="Uc" localSheetId="11">'1550S40km'!$C$6</definedName>
    <definedName name="Uc" localSheetId="5">'850S2000'!$C$6</definedName>
    <definedName name="Uc" localSheetId="3">'850S50_400'!$C$6</definedName>
    <definedName name="Uc" localSheetId="4">'850S50_500'!$C$6</definedName>
    <definedName name="Uc" localSheetId="1">'850S62_160'!$C$6</definedName>
    <definedName name="Uc" localSheetId="2">'850S62_200'!$C$6</definedName>
    <definedName name="Uc" localSheetId="7">LX4_62MMF!$C$6</definedName>
    <definedName name="Uc" localSheetId="8">LX4_SMF!$C$6</definedName>
    <definedName name="Uc">'1310S'!$C$6</definedName>
    <definedName name="Uo" localSheetId="10">'1550S30km'!$P$7</definedName>
    <definedName name="Uo" localSheetId="11">'1550S40km'!$P$7</definedName>
    <definedName name="Uo" localSheetId="5">'850S2000'!$P$7</definedName>
    <definedName name="Uo" localSheetId="3">'850S50_400'!$P$7</definedName>
    <definedName name="Uo" localSheetId="4">'850S50_500'!$P$7</definedName>
    <definedName name="Uo" localSheetId="1">'850S62_160'!$P$7</definedName>
    <definedName name="Uo" localSheetId="2">'850S62_200'!$P$7</definedName>
    <definedName name="Uo" localSheetId="7">LX4_62MMF!$P$7</definedName>
    <definedName name="Uo" localSheetId="8">LX4_SMF!$P$7</definedName>
    <definedName name="Uo">'1310S'!$P$7</definedName>
    <definedName name="Vmn" localSheetId="10">'1550S30km'!$AG$7</definedName>
    <definedName name="Vmn" localSheetId="11">'1550S40km'!$AG$7</definedName>
    <definedName name="Vmn" localSheetId="5">'850S2000'!$AG$7</definedName>
    <definedName name="Vmn" localSheetId="3">'850S50_400'!$AG$7</definedName>
    <definedName name="Vmn" localSheetId="4">'850S50_500'!$AG$7</definedName>
    <definedName name="Vmn" localSheetId="1">'850S62_160'!$AG$7</definedName>
    <definedName name="Vmn" localSheetId="2">'850S62_200'!$AG$7</definedName>
    <definedName name="Vmn" localSheetId="7">LX4_62MMF!$AG$7</definedName>
    <definedName name="Vmn" localSheetId="8">LX4_SMF!$AG$7</definedName>
    <definedName name="Vmn">'1310S'!$AG$7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3" l="1"/>
  <c r="T7" i="33"/>
  <c r="C51" i="40"/>
  <c r="C50" i="40"/>
  <c r="C49" i="40"/>
  <c r="C18" i="40"/>
  <c r="C47" i="40"/>
  <c r="C46" i="40"/>
  <c r="C45" i="40"/>
  <c r="C44" i="40"/>
  <c r="C41" i="40"/>
  <c r="C40" i="40"/>
  <c r="C39" i="40"/>
  <c r="C38" i="40"/>
  <c r="C35" i="40"/>
  <c r="C34" i="40"/>
  <c r="C33" i="40"/>
  <c r="C30" i="40"/>
  <c r="C29" i="40"/>
  <c r="C28" i="40"/>
  <c r="C26" i="40"/>
  <c r="C24" i="40"/>
  <c r="C23" i="40"/>
  <c r="C22" i="40"/>
  <c r="C20" i="40"/>
  <c r="C21" i="40"/>
  <c r="C19" i="40"/>
  <c r="C17" i="40"/>
  <c r="C14" i="40"/>
  <c r="C13" i="40"/>
  <c r="C10" i="40"/>
  <c r="C9" i="40"/>
  <c r="C8" i="40"/>
  <c r="C6" i="40"/>
  <c r="C4" i="40"/>
  <c r="O1" i="27"/>
  <c r="R1" i="27"/>
  <c r="W1" i="27"/>
  <c r="U2" i="27"/>
  <c r="W2" i="27"/>
  <c r="G3" i="27"/>
  <c r="P3" i="27"/>
  <c r="P4" i="27"/>
  <c r="X4" i="27"/>
  <c r="AB4" i="27"/>
  <c r="P5" i="27"/>
  <c r="AB5" i="27"/>
  <c r="L6" i="27"/>
  <c r="L8" i="27" s="1"/>
  <c r="P6" i="27"/>
  <c r="AB6" i="27"/>
  <c r="T7" i="27"/>
  <c r="AB7" i="27"/>
  <c r="C11" i="27" s="1"/>
  <c r="AG7" i="27"/>
  <c r="G8" i="27"/>
  <c r="AB8" i="27"/>
  <c r="AG8" i="27"/>
  <c r="AK8" i="27"/>
  <c r="P9" i="27"/>
  <c r="W9" i="27"/>
  <c r="AK9" i="27"/>
  <c r="C10" i="27"/>
  <c r="O11" i="27"/>
  <c r="Q11" i="27"/>
  <c r="AB11" i="27"/>
  <c r="T12" i="27"/>
  <c r="AB12" i="27"/>
  <c r="C9" i="27" s="1"/>
  <c r="P13" i="27"/>
  <c r="G14" i="27"/>
  <c r="T8" i="27" s="1"/>
  <c r="B17" i="27"/>
  <c r="C17" i="27"/>
  <c r="D17" i="27"/>
  <c r="E17" i="27"/>
  <c r="F17" i="27"/>
  <c r="G17" i="27"/>
  <c r="AL17" i="27"/>
  <c r="A18" i="27"/>
  <c r="G18" i="27"/>
  <c r="AL18" i="27"/>
  <c r="AM18" i="27"/>
  <c r="AP18" i="27"/>
  <c r="AQ18" i="27"/>
  <c r="AR18" i="27"/>
  <c r="A19" i="27"/>
  <c r="B19" i="27"/>
  <c r="C19" i="27"/>
  <c r="AL19" i="27"/>
  <c r="AM19" i="27"/>
  <c r="AL20" i="27"/>
  <c r="AM20" i="27"/>
  <c r="AL21" i="27"/>
  <c r="AM21" i="27"/>
  <c r="AL22" i="27"/>
  <c r="AM22" i="27"/>
  <c r="AL23" i="27"/>
  <c r="AM23" i="27"/>
  <c r="AL24" i="27"/>
  <c r="AM24" i="27"/>
  <c r="AL25" i="27"/>
  <c r="AM25" i="27"/>
  <c r="AL26" i="27"/>
  <c r="AM26" i="27"/>
  <c r="AL27" i="27"/>
  <c r="AM27" i="27"/>
  <c r="AL28" i="27"/>
  <c r="AM28" i="27"/>
  <c r="AL29" i="27"/>
  <c r="AM29" i="27"/>
  <c r="AL30" i="27"/>
  <c r="AM30" i="27"/>
  <c r="AL31" i="27"/>
  <c r="AM31" i="27"/>
  <c r="AL32" i="27"/>
  <c r="AM32" i="27"/>
  <c r="AL33" i="27"/>
  <c r="AM33" i="27"/>
  <c r="AL34" i="27"/>
  <c r="AM34" i="27"/>
  <c r="AN34" i="27"/>
  <c r="AN33" i="27" s="1"/>
  <c r="AN32" i="27" s="1"/>
  <c r="AN31" i="27" s="1"/>
  <c r="AN30" i="27" s="1"/>
  <c r="AN29" i="27" s="1"/>
  <c r="AN28" i="27" s="1"/>
  <c r="AN27" i="27" s="1"/>
  <c r="AN26" i="27" s="1"/>
  <c r="AN25" i="27" s="1"/>
  <c r="AN24" i="27" s="1"/>
  <c r="AN23" i="27" s="1"/>
  <c r="AN22" i="27" s="1"/>
  <c r="AN21" i="27" s="1"/>
  <c r="AN20" i="27" s="1"/>
  <c r="AN19" i="27" s="1"/>
  <c r="AL35" i="27"/>
  <c r="AM35" i="27"/>
  <c r="AL36" i="27"/>
  <c r="AM36" i="27"/>
  <c r="AL37" i="27"/>
  <c r="AM37" i="27"/>
  <c r="AL38" i="27"/>
  <c r="AM38" i="27"/>
  <c r="AN38" i="27"/>
  <c r="AN37" i="27" s="1"/>
  <c r="AN36" i="27" s="1"/>
  <c r="AN35" i="27" s="1"/>
  <c r="AJ41" i="27"/>
  <c r="AK41" i="27"/>
  <c r="AN41" i="27"/>
  <c r="Z42" i="27"/>
  <c r="AJ42" i="27"/>
  <c r="AK42" i="27"/>
  <c r="AN42" i="27"/>
  <c r="AO42" i="27"/>
  <c r="Z43" i="27"/>
  <c r="AJ43" i="27"/>
  <c r="AK43" i="27"/>
  <c r="AN43" i="27"/>
  <c r="AN45" i="27" s="1"/>
  <c r="AO43" i="27"/>
  <c r="Z44" i="27"/>
  <c r="AN44" i="27"/>
  <c r="AO45" i="27"/>
  <c r="AN46" i="27"/>
  <c r="AO46" i="27"/>
  <c r="AN47" i="27"/>
  <c r="O1" i="32"/>
  <c r="R1" i="32"/>
  <c r="W1" i="32"/>
  <c r="U2" i="32"/>
  <c r="W2" i="32"/>
  <c r="G3" i="32"/>
  <c r="P3" i="32"/>
  <c r="P4" i="32"/>
  <c r="B17" i="32" s="1"/>
  <c r="X4" i="32"/>
  <c r="AB4" i="32"/>
  <c r="E17" i="32" s="1"/>
  <c r="P5" i="32"/>
  <c r="AB5" i="32"/>
  <c r="P6" i="32"/>
  <c r="T7" i="32"/>
  <c r="AG7" i="32"/>
  <c r="C8" i="32"/>
  <c r="G8" i="32"/>
  <c r="T8" i="32"/>
  <c r="AB8" i="32"/>
  <c r="AG8" i="32"/>
  <c r="AK8" i="32"/>
  <c r="P9" i="32"/>
  <c r="W9" i="32"/>
  <c r="AK9" i="32"/>
  <c r="O11" i="32"/>
  <c r="Q11" i="32"/>
  <c r="T12" i="32"/>
  <c r="P13" i="32"/>
  <c r="G14" i="32"/>
  <c r="C17" i="32"/>
  <c r="D17" i="32"/>
  <c r="F17" i="32"/>
  <c r="G17" i="32"/>
  <c r="A18" i="32"/>
  <c r="B18" i="32"/>
  <c r="C18" i="32"/>
  <c r="D18" i="32"/>
  <c r="E18" i="32"/>
  <c r="AM18" i="32"/>
  <c r="AO18" i="32"/>
  <c r="AP18" i="32"/>
  <c r="AQ18" i="32"/>
  <c r="AR18" i="32"/>
  <c r="AM19" i="32"/>
  <c r="AM20" i="32"/>
  <c r="AM21" i="32"/>
  <c r="AM22" i="32"/>
  <c r="AM23" i="32"/>
  <c r="AM24" i="32"/>
  <c r="AM25" i="32"/>
  <c r="AM26" i="32"/>
  <c r="AM27" i="32"/>
  <c r="AM28" i="32"/>
  <c r="AM29" i="32"/>
  <c r="AM30" i="32"/>
  <c r="AM31" i="32"/>
  <c r="AM32" i="32"/>
  <c r="AM33" i="32"/>
  <c r="AM34" i="32"/>
  <c r="AM35" i="32"/>
  <c r="AM36" i="32"/>
  <c r="AM37" i="32"/>
  <c r="AM38" i="32"/>
  <c r="AJ41" i="32"/>
  <c r="AK41" i="32"/>
  <c r="AN41" i="32"/>
  <c r="Z42" i="32"/>
  <c r="AJ42" i="32"/>
  <c r="AK42" i="32"/>
  <c r="AN42" i="32"/>
  <c r="AO42" i="32"/>
  <c r="Z43" i="32"/>
  <c r="AN43" i="32"/>
  <c r="AN45" i="32" s="1"/>
  <c r="AO43" i="32"/>
  <c r="AN44" i="32"/>
  <c r="AO45" i="32"/>
  <c r="AN46" i="32"/>
  <c r="AO46" i="32"/>
  <c r="AN47" i="32"/>
  <c r="O1" i="39"/>
  <c r="R1" i="39"/>
  <c r="W1" i="39"/>
  <c r="U2" i="39"/>
  <c r="W2" i="39"/>
  <c r="G3" i="39"/>
  <c r="P3" i="39"/>
  <c r="P4" i="39"/>
  <c r="X4" i="39"/>
  <c r="AB4" i="39"/>
  <c r="P5" i="39"/>
  <c r="AB5" i="39"/>
  <c r="P6" i="39"/>
  <c r="T7" i="39"/>
  <c r="AG7" i="39"/>
  <c r="C8" i="39"/>
  <c r="G8" i="39"/>
  <c r="T8" i="39"/>
  <c r="AB8" i="39"/>
  <c r="AG8" i="39"/>
  <c r="AK8" i="39"/>
  <c r="P9" i="39"/>
  <c r="D17" i="39" s="1"/>
  <c r="W9" i="39"/>
  <c r="AK9" i="39"/>
  <c r="C10" i="39"/>
  <c r="AB12" i="39" s="1"/>
  <c r="O11" i="39"/>
  <c r="Q11" i="39"/>
  <c r="T12" i="39"/>
  <c r="P13" i="39"/>
  <c r="G14" i="39"/>
  <c r="B17" i="39"/>
  <c r="C17" i="39"/>
  <c r="A18" i="39"/>
  <c r="B18" i="39"/>
  <c r="C18" i="39"/>
  <c r="D18" i="39"/>
  <c r="AM18" i="39"/>
  <c r="AO18" i="39"/>
  <c r="AP18" i="39"/>
  <c r="AQ18" i="39"/>
  <c r="AR18" i="39"/>
  <c r="A19" i="39"/>
  <c r="B19" i="39"/>
  <c r="C19" i="39" s="1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J41" i="39"/>
  <c r="AK41" i="39"/>
  <c r="AN41" i="39"/>
  <c r="AN47" i="39" s="1"/>
  <c r="Z42" i="39"/>
  <c r="AK42" i="39" s="1"/>
  <c r="AJ42" i="39"/>
  <c r="AN42" i="39"/>
  <c r="AO42" i="39"/>
  <c r="Z43" i="39"/>
  <c r="AK43" i="39" s="1"/>
  <c r="AJ43" i="39"/>
  <c r="AN43" i="39"/>
  <c r="AN45" i="39" s="1"/>
  <c r="AO43" i="39"/>
  <c r="Z44" i="39"/>
  <c r="AO45" i="39"/>
  <c r="AO46" i="39" s="1"/>
  <c r="AN46" i="39"/>
  <c r="O1" i="33"/>
  <c r="R1" i="33"/>
  <c r="W1" i="33"/>
  <c r="U2" i="33"/>
  <c r="W2" i="33"/>
  <c r="G3" i="33"/>
  <c r="P3" i="33"/>
  <c r="P4" i="33"/>
  <c r="X4" i="33"/>
  <c r="AB4" i="33"/>
  <c r="AB5" i="33"/>
  <c r="L6" i="33"/>
  <c r="P6" i="33"/>
  <c r="AG7" i="33"/>
  <c r="G8" i="33"/>
  <c r="G7" i="33" s="1"/>
  <c r="AB8" i="33"/>
  <c r="AG8" i="33"/>
  <c r="AK8" i="33"/>
  <c r="C9" i="33"/>
  <c r="AB6" i="33" s="1"/>
  <c r="AB7" i="33" s="1"/>
  <c r="C11" i="33" s="1"/>
  <c r="P9" i="33"/>
  <c r="W9" i="33"/>
  <c r="AK9" i="33"/>
  <c r="C10" i="33"/>
  <c r="O11" i="33"/>
  <c r="Q11" i="33"/>
  <c r="AB11" i="33"/>
  <c r="L12" i="33"/>
  <c r="T12" i="33"/>
  <c r="AB12" i="33"/>
  <c r="P13" i="33"/>
  <c r="G14" i="33"/>
  <c r="T8" i="33" s="1"/>
  <c r="D17" i="33"/>
  <c r="E17" i="33"/>
  <c r="F17" i="33"/>
  <c r="AG6" i="33" s="1"/>
  <c r="G17" i="33"/>
  <c r="H17" i="33"/>
  <c r="I17" i="33"/>
  <c r="A18" i="33"/>
  <c r="AM18" i="33"/>
  <c r="AM19" i="33"/>
  <c r="AM20" i="33"/>
  <c r="AM21" i="33"/>
  <c r="AM22" i="33"/>
  <c r="AM23" i="33"/>
  <c r="AM24" i="33"/>
  <c r="AM25" i="33"/>
  <c r="AM26" i="33"/>
  <c r="AM27" i="33"/>
  <c r="AM28" i="33"/>
  <c r="AM29" i="33"/>
  <c r="AM30" i="33"/>
  <c r="AM31" i="33"/>
  <c r="AM32" i="33"/>
  <c r="AM33" i="33"/>
  <c r="AM34" i="33"/>
  <c r="AM35" i="33"/>
  <c r="AM36" i="33"/>
  <c r="AM37" i="33"/>
  <c r="AM38" i="33"/>
  <c r="AJ41" i="33"/>
  <c r="AK41" i="33"/>
  <c r="AN41" i="33"/>
  <c r="Z42" i="33"/>
  <c r="Z43" i="33" s="1"/>
  <c r="AJ42" i="33"/>
  <c r="AK42" i="33"/>
  <c r="AN42" i="33"/>
  <c r="AN43" i="33" s="1"/>
  <c r="AN45" i="33" s="1"/>
  <c r="AO42" i="33"/>
  <c r="AO43" i="33"/>
  <c r="Y44" i="33"/>
  <c r="AA41" i="33" s="1"/>
  <c r="AN44" i="33"/>
  <c r="AO45" i="33"/>
  <c r="AN46" i="33"/>
  <c r="AO46" i="33"/>
  <c r="AN47" i="33"/>
  <c r="O1" i="37"/>
  <c r="R1" i="37"/>
  <c r="W1" i="37"/>
  <c r="U2" i="37"/>
  <c r="W2" i="37"/>
  <c r="G3" i="37"/>
  <c r="P3" i="37"/>
  <c r="P4" i="37"/>
  <c r="X4" i="37"/>
  <c r="AB4" i="37"/>
  <c r="AB5" i="37"/>
  <c r="L6" i="37"/>
  <c r="P6" i="37"/>
  <c r="G7" i="37"/>
  <c r="L7" i="37"/>
  <c r="T7" i="37"/>
  <c r="AG7" i="37"/>
  <c r="G8" i="37"/>
  <c r="L11" i="37" s="1"/>
  <c r="L8" i="37"/>
  <c r="AB8" i="37"/>
  <c r="AG8" i="37"/>
  <c r="AK8" i="37"/>
  <c r="G9" i="37"/>
  <c r="P9" i="37"/>
  <c r="W9" i="37"/>
  <c r="AK9" i="37"/>
  <c r="C10" i="37"/>
  <c r="AB12" i="37" s="1"/>
  <c r="C9" i="37" s="1"/>
  <c r="AB6" i="37" s="1"/>
  <c r="AB7" i="37" s="1"/>
  <c r="C11" i="37" s="1"/>
  <c r="O11" i="37"/>
  <c r="Q11" i="37"/>
  <c r="AB11" i="37"/>
  <c r="T12" i="37"/>
  <c r="P13" i="37"/>
  <c r="G14" i="37"/>
  <c r="T8" i="37" s="1"/>
  <c r="L13" i="37" s="1"/>
  <c r="D17" i="37"/>
  <c r="F17" i="37" s="1"/>
  <c r="E17" i="37"/>
  <c r="O17" i="37"/>
  <c r="P17" i="37"/>
  <c r="Q17" i="37"/>
  <c r="AL17" i="37"/>
  <c r="A18" i="37"/>
  <c r="AM18" i="37"/>
  <c r="AO18" i="37"/>
  <c r="AP18" i="37"/>
  <c r="AQ18" i="37"/>
  <c r="A19" i="37"/>
  <c r="D19" i="37"/>
  <c r="E19" i="37"/>
  <c r="AL19" i="37"/>
  <c r="AM19" i="37"/>
  <c r="AP19" i="37"/>
  <c r="AQ19" i="37"/>
  <c r="AL20" i="37"/>
  <c r="AM20" i="37"/>
  <c r="AL21" i="37"/>
  <c r="AM21" i="37"/>
  <c r="AL22" i="37"/>
  <c r="AM22" i="37"/>
  <c r="AL23" i="37"/>
  <c r="AM23" i="37"/>
  <c r="AM24" i="37"/>
  <c r="AL25" i="37"/>
  <c r="AM25" i="37"/>
  <c r="AM26" i="37"/>
  <c r="AL27" i="37"/>
  <c r="AM27" i="37"/>
  <c r="AL28" i="37"/>
  <c r="AM28" i="37"/>
  <c r="AM29" i="37"/>
  <c r="AM30" i="37"/>
  <c r="AM31" i="37"/>
  <c r="AM32" i="37"/>
  <c r="AM33" i="37"/>
  <c r="AL34" i="37"/>
  <c r="AM34" i="37"/>
  <c r="AL35" i="37"/>
  <c r="AM35" i="37"/>
  <c r="AL36" i="37"/>
  <c r="AM36" i="37"/>
  <c r="AL37" i="37"/>
  <c r="AM37" i="37"/>
  <c r="AM38" i="37"/>
  <c r="AJ41" i="37"/>
  <c r="AK41" i="37"/>
  <c r="AN41" i="37"/>
  <c r="Z42" i="37"/>
  <c r="AN42" i="37"/>
  <c r="AN46" i="37" s="1"/>
  <c r="AO42" i="37"/>
  <c r="AN43" i="37"/>
  <c r="AN45" i="37" s="1"/>
  <c r="AO43" i="37"/>
  <c r="AN44" i="37"/>
  <c r="AO45" i="37"/>
  <c r="AO46" i="37" s="1"/>
  <c r="AN47" i="37"/>
  <c r="O1" i="31"/>
  <c r="R1" i="31"/>
  <c r="W1" i="31"/>
  <c r="U2" i="31"/>
  <c r="W2" i="31"/>
  <c r="G3" i="31"/>
  <c r="P3" i="31"/>
  <c r="P4" i="31"/>
  <c r="B18" i="31" s="1"/>
  <c r="X4" i="31"/>
  <c r="AB4" i="31"/>
  <c r="G5" i="31"/>
  <c r="P5" i="31"/>
  <c r="AB5" i="31"/>
  <c r="L6" i="31"/>
  <c r="P6" i="31"/>
  <c r="G7" i="31"/>
  <c r="L7" i="31"/>
  <c r="C18" i="31" s="1"/>
  <c r="T7" i="31"/>
  <c r="AG7" i="31"/>
  <c r="G8" i="31"/>
  <c r="T8" i="31"/>
  <c r="L13" i="31" s="1"/>
  <c r="AB8" i="31"/>
  <c r="AG8" i="31"/>
  <c r="AK8" i="31"/>
  <c r="P9" i="31"/>
  <c r="W9" i="31"/>
  <c r="AK9" i="31"/>
  <c r="C10" i="31"/>
  <c r="AB12" i="31" s="1"/>
  <c r="C9" i="31" s="1"/>
  <c r="AB6" i="31" s="1"/>
  <c r="AB7" i="31" s="1"/>
  <c r="C11" i="31" s="1"/>
  <c r="AB9" i="31" s="1"/>
  <c r="L11" i="31"/>
  <c r="O11" i="31"/>
  <c r="Q11" i="31"/>
  <c r="AB11" i="31"/>
  <c r="T12" i="31"/>
  <c r="P13" i="31"/>
  <c r="G14" i="31"/>
  <c r="B17" i="31"/>
  <c r="C17" i="31"/>
  <c r="D17" i="31"/>
  <c r="E17" i="31"/>
  <c r="A18" i="31"/>
  <c r="D18" i="31"/>
  <c r="E18" i="31"/>
  <c r="F18" i="31"/>
  <c r="G18" i="31"/>
  <c r="H18" i="31"/>
  <c r="I18" i="31"/>
  <c r="AK18" i="31"/>
  <c r="AM18" i="31"/>
  <c r="AO18" i="31"/>
  <c r="AP18" i="31"/>
  <c r="AQ18" i="31"/>
  <c r="AR18" i="31"/>
  <c r="A19" i="31"/>
  <c r="B19" i="31"/>
  <c r="AL19" i="31"/>
  <c r="AM19" i="31"/>
  <c r="AM20" i="31"/>
  <c r="AM21" i="31"/>
  <c r="AM22" i="31"/>
  <c r="AL23" i="31"/>
  <c r="AM23" i="31"/>
  <c r="AM24" i="31"/>
  <c r="AL25" i="31"/>
  <c r="AM25" i="31"/>
  <c r="AM26" i="31"/>
  <c r="AL27" i="31"/>
  <c r="AM27" i="31"/>
  <c r="AL28" i="31"/>
  <c r="AM28" i="31"/>
  <c r="AL29" i="31"/>
  <c r="AM29" i="31"/>
  <c r="AL30" i="31"/>
  <c r="AM30" i="31"/>
  <c r="AM31" i="31"/>
  <c r="AL32" i="31"/>
  <c r="AM32" i="31"/>
  <c r="AN32" i="31"/>
  <c r="AN31" i="31" s="1"/>
  <c r="AN30" i="31" s="1"/>
  <c r="AN29" i="31" s="1"/>
  <c r="AN28" i="31" s="1"/>
  <c r="AN27" i="31" s="1"/>
  <c r="AN26" i="31" s="1"/>
  <c r="AN25" i="31" s="1"/>
  <c r="AN24" i="31" s="1"/>
  <c r="AN23" i="31" s="1"/>
  <c r="AN22" i="31" s="1"/>
  <c r="AN21" i="31" s="1"/>
  <c r="AN20" i="31" s="1"/>
  <c r="AN19" i="31" s="1"/>
  <c r="AM33" i="31"/>
  <c r="AM34" i="31"/>
  <c r="AM35" i="31"/>
  <c r="AL36" i="31"/>
  <c r="AM36" i="31"/>
  <c r="AL37" i="31"/>
  <c r="AM37" i="31"/>
  <c r="AM38" i="31"/>
  <c r="AN38" i="31"/>
  <c r="AN37" i="31" s="1"/>
  <c r="AN36" i="31" s="1"/>
  <c r="AN35" i="31" s="1"/>
  <c r="AN34" i="31" s="1"/>
  <c r="AN33" i="31" s="1"/>
  <c r="AJ41" i="31"/>
  <c r="AK41" i="31"/>
  <c r="AN41" i="31"/>
  <c r="AN47" i="31" s="1"/>
  <c r="Z42" i="31"/>
  <c r="AJ42" i="31"/>
  <c r="AK42" i="31"/>
  <c r="AN42" i="31"/>
  <c r="AO42" i="31"/>
  <c r="Z43" i="31"/>
  <c r="AJ43" i="31"/>
  <c r="AK43" i="31"/>
  <c r="AN43" i="31"/>
  <c r="AO43" i="31"/>
  <c r="Z44" i="31"/>
  <c r="Z45" i="31" s="1"/>
  <c r="AJ44" i="31"/>
  <c r="AK44" i="31"/>
  <c r="AJ45" i="31"/>
  <c r="AK45" i="31"/>
  <c r="AN45" i="31"/>
  <c r="AO45" i="31"/>
  <c r="Z46" i="31"/>
  <c r="AK46" i="31"/>
  <c r="AN46" i="31"/>
  <c r="AO46" i="31"/>
  <c r="O1" i="35"/>
  <c r="R1" i="35"/>
  <c r="W1" i="35"/>
  <c r="U2" i="35"/>
  <c r="W2" i="35"/>
  <c r="G3" i="35"/>
  <c r="P3" i="35"/>
  <c r="AG3" i="35"/>
  <c r="AG4" i="35" s="1"/>
  <c r="P4" i="35"/>
  <c r="X4" i="35"/>
  <c r="AB4" i="35"/>
  <c r="AB5" i="35"/>
  <c r="L6" i="35"/>
  <c r="P6" i="35"/>
  <c r="G7" i="35"/>
  <c r="G9" i="35" s="1"/>
  <c r="L7" i="35"/>
  <c r="AL20" i="35" s="1"/>
  <c r="T7" i="35"/>
  <c r="AB7" i="35"/>
  <c r="C11" i="35" s="1"/>
  <c r="AG7" i="35"/>
  <c r="G8" i="35"/>
  <c r="L11" i="35" s="1"/>
  <c r="T8" i="35"/>
  <c r="L13" i="35" s="1"/>
  <c r="AB8" i="35"/>
  <c r="AG8" i="35"/>
  <c r="AK8" i="35"/>
  <c r="P9" i="35"/>
  <c r="W9" i="35"/>
  <c r="AK9" i="35"/>
  <c r="C10" i="35"/>
  <c r="O11" i="35"/>
  <c r="Q11" i="35"/>
  <c r="AB11" i="35"/>
  <c r="L12" i="35"/>
  <c r="T12" i="35"/>
  <c r="AB12" i="35"/>
  <c r="C9" i="35" s="1"/>
  <c r="AB6" i="35" s="1"/>
  <c r="P13" i="35"/>
  <c r="G14" i="35"/>
  <c r="D17" i="35"/>
  <c r="E17" i="35"/>
  <c r="F17" i="35"/>
  <c r="AG6" i="35" s="1"/>
  <c r="G17" i="35"/>
  <c r="H17" i="35"/>
  <c r="I17" i="35" s="1"/>
  <c r="A18" i="35"/>
  <c r="B18" i="35"/>
  <c r="G18" i="35"/>
  <c r="AM18" i="35"/>
  <c r="AM19" i="35"/>
  <c r="AM20" i="35"/>
  <c r="AM21" i="35"/>
  <c r="AM22" i="35"/>
  <c r="AM23" i="35"/>
  <c r="AM24" i="35"/>
  <c r="AM25" i="35"/>
  <c r="AM26" i="35"/>
  <c r="AM27" i="35"/>
  <c r="AM28" i="35"/>
  <c r="AM29" i="35"/>
  <c r="AM30" i="35"/>
  <c r="AM31" i="35"/>
  <c r="AM32" i="35"/>
  <c r="AM33" i="35"/>
  <c r="AL34" i="35"/>
  <c r="AM34" i="35"/>
  <c r="AN34" i="35"/>
  <c r="AN33" i="35" s="1"/>
  <c r="AN32" i="35" s="1"/>
  <c r="AN31" i="35" s="1"/>
  <c r="AN30" i="35" s="1"/>
  <c r="AN29" i="35" s="1"/>
  <c r="AN28" i="35" s="1"/>
  <c r="AN27" i="35" s="1"/>
  <c r="AN26" i="35" s="1"/>
  <c r="AN25" i="35" s="1"/>
  <c r="AN24" i="35" s="1"/>
  <c r="AN23" i="35" s="1"/>
  <c r="AN22" i="35" s="1"/>
  <c r="AN21" i="35" s="1"/>
  <c r="AN20" i="35" s="1"/>
  <c r="AN19" i="35" s="1"/>
  <c r="AM35" i="35"/>
  <c r="AN35" i="35"/>
  <c r="AM36" i="35"/>
  <c r="AM37" i="35"/>
  <c r="AM38" i="35"/>
  <c r="AN38" i="35"/>
  <c r="AN37" i="35" s="1"/>
  <c r="AN36" i="35" s="1"/>
  <c r="AJ41" i="35"/>
  <c r="AK41" i="35"/>
  <c r="AN41" i="35"/>
  <c r="AN47" i="35" s="1"/>
  <c r="Z42" i="35"/>
  <c r="AJ42" i="35"/>
  <c r="AK42" i="35"/>
  <c r="AN42" i="35"/>
  <c r="AO42" i="35"/>
  <c r="Z43" i="35"/>
  <c r="AJ43" i="35"/>
  <c r="AK43" i="35"/>
  <c r="AN43" i="35"/>
  <c r="AO43" i="35"/>
  <c r="Z44" i="35"/>
  <c r="AK44" i="35" s="1"/>
  <c r="AJ44" i="35"/>
  <c r="AN45" i="35"/>
  <c r="AO45" i="35"/>
  <c r="AN46" i="35"/>
  <c r="AO46" i="35"/>
  <c r="O1" i="36"/>
  <c r="R1" i="36"/>
  <c r="W1" i="36"/>
  <c r="U2" i="36"/>
  <c r="W2" i="36"/>
  <c r="G3" i="36"/>
  <c r="P3" i="36"/>
  <c r="P4" i="36"/>
  <c r="P5" i="36" s="1"/>
  <c r="X4" i="36"/>
  <c r="AB4" i="36"/>
  <c r="E17" i="36" s="1"/>
  <c r="AB5" i="36"/>
  <c r="L6" i="36"/>
  <c r="P6" i="36"/>
  <c r="L7" i="36"/>
  <c r="T7" i="36"/>
  <c r="AG7" i="36"/>
  <c r="G8" i="36"/>
  <c r="AB8" i="36"/>
  <c r="AG8" i="36"/>
  <c r="AK8" i="36"/>
  <c r="P9" i="36"/>
  <c r="W9" i="36"/>
  <c r="AK9" i="36"/>
  <c r="C10" i="36"/>
  <c r="AB12" i="36" s="1"/>
  <c r="C9" i="36" s="1"/>
  <c r="AB6" i="36" s="1"/>
  <c r="AB7" i="36" s="1"/>
  <c r="C11" i="36" s="1"/>
  <c r="O11" i="36"/>
  <c r="Q11" i="36"/>
  <c r="AB11" i="36"/>
  <c r="T12" i="36"/>
  <c r="P13" i="36"/>
  <c r="G14" i="36"/>
  <c r="T8" i="36" s="1"/>
  <c r="B17" i="36"/>
  <c r="D17" i="36"/>
  <c r="F17" i="36" s="1"/>
  <c r="A18" i="36"/>
  <c r="B18" i="36"/>
  <c r="D18" i="36"/>
  <c r="F18" i="36" s="1"/>
  <c r="E18" i="36"/>
  <c r="AM18" i="36"/>
  <c r="AO18" i="36"/>
  <c r="AP18" i="36"/>
  <c r="AL19" i="36"/>
  <c r="AM19" i="36"/>
  <c r="AM20" i="36"/>
  <c r="AM21" i="36"/>
  <c r="AM22" i="36"/>
  <c r="AM23" i="36"/>
  <c r="AM24" i="36"/>
  <c r="AM25" i="36"/>
  <c r="AM26" i="36"/>
  <c r="AM27" i="36"/>
  <c r="AM28" i="36"/>
  <c r="AM29" i="36"/>
  <c r="AM30" i="36"/>
  <c r="AM31" i="36"/>
  <c r="AM32" i="36"/>
  <c r="AM33" i="36"/>
  <c r="AM34" i="36"/>
  <c r="AM35" i="36"/>
  <c r="AM36" i="36"/>
  <c r="AM37" i="36"/>
  <c r="AM38" i="36"/>
  <c r="AJ41" i="36"/>
  <c r="AK41" i="36"/>
  <c r="AN41" i="36"/>
  <c r="Z42" i="36"/>
  <c r="AN42" i="36"/>
  <c r="AN46" i="36" s="1"/>
  <c r="AO42" i="36"/>
  <c r="Z43" i="36"/>
  <c r="AN43" i="36"/>
  <c r="AN45" i="36" s="1"/>
  <c r="AO43" i="36"/>
  <c r="AN44" i="36"/>
  <c r="AO45" i="36"/>
  <c r="AO46" i="36" s="1"/>
  <c r="AN47" i="36"/>
  <c r="O1" i="38"/>
  <c r="R1" i="38"/>
  <c r="W1" i="38"/>
  <c r="U2" i="38"/>
  <c r="W2" i="38"/>
  <c r="G3" i="38"/>
  <c r="P3" i="38"/>
  <c r="P4" i="38"/>
  <c r="X4" i="38"/>
  <c r="AB4" i="38"/>
  <c r="P5" i="38"/>
  <c r="AB5" i="38"/>
  <c r="L6" i="38"/>
  <c r="P6" i="38"/>
  <c r="AB6" i="38"/>
  <c r="AB7" i="38" s="1"/>
  <c r="T7" i="38"/>
  <c r="AG7" i="38"/>
  <c r="G8" i="38"/>
  <c r="L11" i="38" s="1"/>
  <c r="T8" i="38"/>
  <c r="AB8" i="38"/>
  <c r="AG8" i="38"/>
  <c r="AK8" i="38"/>
  <c r="C9" i="38"/>
  <c r="P9" i="38"/>
  <c r="W9" i="38"/>
  <c r="AK9" i="38"/>
  <c r="C11" i="38"/>
  <c r="O11" i="38"/>
  <c r="Q11" i="38"/>
  <c r="AB11" i="38"/>
  <c r="T12" i="38"/>
  <c r="AB12" i="38"/>
  <c r="P13" i="38"/>
  <c r="G14" i="38"/>
  <c r="B17" i="38"/>
  <c r="C17" i="38" s="1"/>
  <c r="D17" i="38"/>
  <c r="E17" i="38"/>
  <c r="F17" i="38"/>
  <c r="G17" i="38"/>
  <c r="A18" i="38"/>
  <c r="B18" i="38"/>
  <c r="C18" i="38"/>
  <c r="AM18" i="38"/>
  <c r="AQ18" i="38"/>
  <c r="AR18" i="38"/>
  <c r="A19" i="38"/>
  <c r="E19" i="38"/>
  <c r="AM19" i="38"/>
  <c r="AM20" i="38"/>
  <c r="AL21" i="38"/>
  <c r="AM21" i="38"/>
  <c r="AM22" i="38"/>
  <c r="AM23" i="38"/>
  <c r="AM24" i="38"/>
  <c r="AM25" i="38"/>
  <c r="AM26" i="38"/>
  <c r="AM27" i="38"/>
  <c r="AM28" i="38"/>
  <c r="AM29" i="38"/>
  <c r="AM30" i="38"/>
  <c r="AM31" i="38"/>
  <c r="AM32" i="38"/>
  <c r="AL33" i="38"/>
  <c r="AM33" i="38"/>
  <c r="AL34" i="38"/>
  <c r="AM34" i="38"/>
  <c r="AM35" i="38"/>
  <c r="AL36" i="38"/>
  <c r="AM36" i="38"/>
  <c r="AL37" i="38"/>
  <c r="AM37" i="38"/>
  <c r="AM38" i="38"/>
  <c r="AJ41" i="38"/>
  <c r="AK41" i="38"/>
  <c r="AN41" i="38"/>
  <c r="AN47" i="38" s="1"/>
  <c r="Z42" i="38"/>
  <c r="AJ42" i="38"/>
  <c r="AK42" i="38"/>
  <c r="AN42" i="38"/>
  <c r="AO42" i="38"/>
  <c r="Z43" i="38"/>
  <c r="AN43" i="38"/>
  <c r="AO43" i="38"/>
  <c r="AN44" i="38"/>
  <c r="AN45" i="38"/>
  <c r="AO45" i="38"/>
  <c r="AN46" i="38"/>
  <c r="AO46" i="38"/>
  <c r="O1" i="34"/>
  <c r="R1" i="34"/>
  <c r="W1" i="34"/>
  <c r="U2" i="34"/>
  <c r="W2" i="34"/>
  <c r="G3" i="34"/>
  <c r="P3" i="34"/>
  <c r="P4" i="34"/>
  <c r="B17" i="34" s="1"/>
  <c r="X4" i="34"/>
  <c r="AB4" i="34"/>
  <c r="E18" i="34" s="1"/>
  <c r="F18" i="34" s="1"/>
  <c r="P5" i="34"/>
  <c r="AB5" i="34"/>
  <c r="L6" i="34"/>
  <c r="P6" i="34"/>
  <c r="T7" i="34"/>
  <c r="AG7" i="34"/>
  <c r="G8" i="34"/>
  <c r="T8" i="34"/>
  <c r="L13" i="34" s="1"/>
  <c r="AB8" i="34"/>
  <c r="AG8" i="34"/>
  <c r="AK8" i="34"/>
  <c r="G9" i="34"/>
  <c r="P9" i="34"/>
  <c r="W9" i="34"/>
  <c r="AK9" i="34"/>
  <c r="L11" i="34"/>
  <c r="O11" i="34"/>
  <c r="Q11" i="34"/>
  <c r="AB11" i="34"/>
  <c r="T12" i="34"/>
  <c r="AB12" i="34"/>
  <c r="P13" i="34"/>
  <c r="G14" i="34"/>
  <c r="C17" i="34"/>
  <c r="D17" i="34"/>
  <c r="A18" i="34"/>
  <c r="B18" i="34"/>
  <c r="C18" i="34" s="1"/>
  <c r="D18" i="34"/>
  <c r="AM18" i="34"/>
  <c r="AO18" i="34"/>
  <c r="AP18" i="34"/>
  <c r="AQ18" i="34"/>
  <c r="AR18" i="34"/>
  <c r="A19" i="34"/>
  <c r="B19" i="34"/>
  <c r="C19" i="34" s="1"/>
  <c r="AM19" i="34"/>
  <c r="AO19" i="34"/>
  <c r="AP19" i="34"/>
  <c r="AQ19" i="34"/>
  <c r="A20" i="34"/>
  <c r="AM20" i="34"/>
  <c r="AM21" i="34"/>
  <c r="AL22" i="34"/>
  <c r="AM22" i="34"/>
  <c r="AM23" i="34"/>
  <c r="AM24" i="34"/>
  <c r="AM25" i="34"/>
  <c r="AM26" i="34"/>
  <c r="AM27" i="34"/>
  <c r="AL28" i="34"/>
  <c r="AM28" i="34"/>
  <c r="AL29" i="34"/>
  <c r="AM29" i="34"/>
  <c r="AM30" i="34"/>
  <c r="AM31" i="34"/>
  <c r="AM32" i="34"/>
  <c r="AM33" i="34"/>
  <c r="AM34" i="34"/>
  <c r="AM35" i="34"/>
  <c r="AM36" i="34"/>
  <c r="AM37" i="34"/>
  <c r="AM38" i="34"/>
  <c r="AJ41" i="34"/>
  <c r="AK41" i="34"/>
  <c r="AN41" i="34"/>
  <c r="Z42" i="34"/>
  <c r="AN42" i="34"/>
  <c r="AO42" i="34"/>
  <c r="AO43" i="34"/>
  <c r="Y44" i="34"/>
  <c r="AA41" i="34" s="1"/>
  <c r="AN44" i="34"/>
  <c r="AO45" i="34"/>
  <c r="AO46" i="34" s="1"/>
  <c r="AN47" i="34"/>
  <c r="Y44" i="38" l="1"/>
  <c r="O19" i="38"/>
  <c r="P19" i="38" s="1"/>
  <c r="Q19" i="38" s="1"/>
  <c r="L12" i="38"/>
  <c r="L13" i="38"/>
  <c r="O17" i="38"/>
  <c r="P17" i="38" s="1"/>
  <c r="Q17" i="38" s="1"/>
  <c r="AL17" i="36"/>
  <c r="AL23" i="36"/>
  <c r="AL33" i="36"/>
  <c r="AL24" i="36"/>
  <c r="AL25" i="36"/>
  <c r="AN38" i="36"/>
  <c r="AN37" i="36" s="1"/>
  <c r="AN36" i="36" s="1"/>
  <c r="AN35" i="36" s="1"/>
  <c r="AN34" i="36" s="1"/>
  <c r="AN33" i="36" s="1"/>
  <c r="AN32" i="36" s="1"/>
  <c r="AN31" i="36" s="1"/>
  <c r="AN30" i="36" s="1"/>
  <c r="AN29" i="36" s="1"/>
  <c r="AN28" i="36" s="1"/>
  <c r="AN27" i="36" s="1"/>
  <c r="AN26" i="36" s="1"/>
  <c r="AN25" i="36" s="1"/>
  <c r="AN24" i="36" s="1"/>
  <c r="AN23" i="36" s="1"/>
  <c r="AN22" i="36" s="1"/>
  <c r="AN21" i="36" s="1"/>
  <c r="AN20" i="36" s="1"/>
  <c r="AN19" i="36" s="1"/>
  <c r="AL36" i="36"/>
  <c r="L8" i="36"/>
  <c r="AL21" i="36"/>
  <c r="AL30" i="36"/>
  <c r="AL20" i="36"/>
  <c r="AL29" i="36"/>
  <c r="AL34" i="36"/>
  <c r="AL37" i="36"/>
  <c r="AL38" i="36"/>
  <c r="AL31" i="36"/>
  <c r="AL22" i="36"/>
  <c r="AL35" i="36"/>
  <c r="AL26" i="36"/>
  <c r="AL28" i="36"/>
  <c r="G17" i="34"/>
  <c r="G20" i="34"/>
  <c r="G19" i="34"/>
  <c r="G18" i="34"/>
  <c r="D20" i="34"/>
  <c r="AQ20" i="34"/>
  <c r="E20" i="34"/>
  <c r="AR20" i="34"/>
  <c r="AP20" i="34"/>
  <c r="AO20" i="34"/>
  <c r="B20" i="34"/>
  <c r="C20" i="34" s="1"/>
  <c r="A21" i="34"/>
  <c r="G21" i="34"/>
  <c r="G5" i="36"/>
  <c r="AB9" i="36"/>
  <c r="AJ43" i="36"/>
  <c r="AK43" i="36"/>
  <c r="Z44" i="36"/>
  <c r="L13" i="36"/>
  <c r="AJ42" i="34"/>
  <c r="AK42" i="34"/>
  <c r="Z43" i="34"/>
  <c r="AM42" i="34"/>
  <c r="AL42" i="34"/>
  <c r="AL18" i="36"/>
  <c r="H7" i="34"/>
  <c r="AM41" i="34"/>
  <c r="AL41" i="34"/>
  <c r="AJ43" i="38"/>
  <c r="Z44" i="38"/>
  <c r="AK43" i="38"/>
  <c r="AL32" i="36"/>
  <c r="AL27" i="36"/>
  <c r="G18" i="36"/>
  <c r="AK18" i="36" s="1"/>
  <c r="G17" i="36"/>
  <c r="H17" i="36" s="1"/>
  <c r="AA42" i="34"/>
  <c r="A20" i="38"/>
  <c r="B19" i="38"/>
  <c r="C19" i="38" s="1"/>
  <c r="AR19" i="38"/>
  <c r="D19" i="38"/>
  <c r="F19" i="38" s="1"/>
  <c r="AO19" i="38"/>
  <c r="AP19" i="38"/>
  <c r="AQ19" i="38"/>
  <c r="AL17" i="34"/>
  <c r="AL21" i="34"/>
  <c r="AL36" i="34"/>
  <c r="AL24" i="34"/>
  <c r="AL30" i="34"/>
  <c r="AL33" i="34"/>
  <c r="AL20" i="34"/>
  <c r="AL37" i="34"/>
  <c r="AL38" i="34"/>
  <c r="AL25" i="34"/>
  <c r="AL34" i="34"/>
  <c r="AL35" i="34"/>
  <c r="AL19" i="34"/>
  <c r="AL18" i="34"/>
  <c r="AL27" i="34"/>
  <c r="AL32" i="34"/>
  <c r="L8" i="34"/>
  <c r="AN38" i="34"/>
  <c r="AN37" i="34" s="1"/>
  <c r="AN36" i="34" s="1"/>
  <c r="AN35" i="34" s="1"/>
  <c r="AN34" i="34" s="1"/>
  <c r="AN33" i="34" s="1"/>
  <c r="AN32" i="34" s="1"/>
  <c r="AN31" i="34" s="1"/>
  <c r="AN30" i="34" s="1"/>
  <c r="AN29" i="34" s="1"/>
  <c r="AN28" i="34" s="1"/>
  <c r="AN27" i="34" s="1"/>
  <c r="AN26" i="34" s="1"/>
  <c r="AN25" i="34" s="1"/>
  <c r="AN24" i="34" s="1"/>
  <c r="AN23" i="34" s="1"/>
  <c r="AN22" i="34" s="1"/>
  <c r="AN21" i="34" s="1"/>
  <c r="AN20" i="34" s="1"/>
  <c r="AN19" i="34" s="1"/>
  <c r="AL23" i="34"/>
  <c r="AL26" i="34"/>
  <c r="AL31" i="34"/>
  <c r="AB9" i="38"/>
  <c r="G5" i="38"/>
  <c r="Y17" i="35"/>
  <c r="Z17" i="35" s="1"/>
  <c r="J17" i="35" s="1"/>
  <c r="AE17" i="35"/>
  <c r="AF17" i="35"/>
  <c r="G5" i="35"/>
  <c r="AB9" i="35"/>
  <c r="AL41" i="37"/>
  <c r="AM41" i="37"/>
  <c r="H7" i="37"/>
  <c r="AL38" i="35"/>
  <c r="AL24" i="35"/>
  <c r="AN43" i="34"/>
  <c r="AN45" i="34" s="1"/>
  <c r="AN46" i="34"/>
  <c r="G18" i="38"/>
  <c r="AL20" i="38"/>
  <c r="AL23" i="38"/>
  <c r="AL26" i="38"/>
  <c r="AL29" i="38"/>
  <c r="AL32" i="38"/>
  <c r="AL35" i="38"/>
  <c r="AL38" i="38"/>
  <c r="AL27" i="38"/>
  <c r="AL28" i="38"/>
  <c r="AL30" i="38"/>
  <c r="AL31" i="38"/>
  <c r="L8" i="38"/>
  <c r="AL18" i="38"/>
  <c r="AL25" i="38"/>
  <c r="AL22" i="38"/>
  <c r="AN38" i="38"/>
  <c r="AN37" i="38" s="1"/>
  <c r="AN36" i="38" s="1"/>
  <c r="AN35" i="38" s="1"/>
  <c r="AN34" i="38" s="1"/>
  <c r="AN33" i="38" s="1"/>
  <c r="AN32" i="38" s="1"/>
  <c r="AN31" i="38" s="1"/>
  <c r="AN30" i="38" s="1"/>
  <c r="AN29" i="38" s="1"/>
  <c r="AN28" i="38" s="1"/>
  <c r="AN27" i="38" s="1"/>
  <c r="AN26" i="38" s="1"/>
  <c r="AN25" i="38" s="1"/>
  <c r="AN24" i="38" s="1"/>
  <c r="AN23" i="38" s="1"/>
  <c r="AN22" i="38" s="1"/>
  <c r="AN21" i="38" s="1"/>
  <c r="AN20" i="38" s="1"/>
  <c r="AN19" i="38" s="1"/>
  <c r="AL19" i="38"/>
  <c r="AL30" i="35"/>
  <c r="AG9" i="35"/>
  <c r="AK2" i="35" s="1"/>
  <c r="G18" i="37"/>
  <c r="G17" i="37"/>
  <c r="AG6" i="37" s="1"/>
  <c r="G19" i="37"/>
  <c r="G20" i="37"/>
  <c r="C18" i="35"/>
  <c r="AL22" i="35"/>
  <c r="AL28" i="35"/>
  <c r="AL32" i="35"/>
  <c r="AL37" i="35"/>
  <c r="L8" i="35"/>
  <c r="AL21" i="35"/>
  <c r="AL23" i="35"/>
  <c r="AL27" i="35"/>
  <c r="AL36" i="35"/>
  <c r="AL17" i="35"/>
  <c r="AL26" i="35"/>
  <c r="AL29" i="35"/>
  <c r="AL35" i="35"/>
  <c r="AL25" i="35"/>
  <c r="AL31" i="35"/>
  <c r="AL33" i="35"/>
  <c r="AL18" i="35"/>
  <c r="AR19" i="34"/>
  <c r="D19" i="34"/>
  <c r="E19" i="34"/>
  <c r="E17" i="34"/>
  <c r="F17" i="34" s="1"/>
  <c r="AJ42" i="36"/>
  <c r="AK42" i="36"/>
  <c r="O17" i="34"/>
  <c r="P17" i="34" s="1"/>
  <c r="Q17" i="34" s="1"/>
  <c r="O18" i="34"/>
  <c r="P18" i="34" s="1"/>
  <c r="Q18" i="34" s="1"/>
  <c r="L12" i="34"/>
  <c r="C17" i="36"/>
  <c r="C18" i="36"/>
  <c r="AK18" i="34"/>
  <c r="H18" i="34"/>
  <c r="I18" i="34" s="1"/>
  <c r="AL24" i="38"/>
  <c r="G19" i="38"/>
  <c r="AL17" i="38"/>
  <c r="AJ42" i="37"/>
  <c r="AK42" i="37"/>
  <c r="Z43" i="37"/>
  <c r="AL27" i="33"/>
  <c r="L8" i="33"/>
  <c r="AL30" i="33"/>
  <c r="AN38" i="33"/>
  <c r="AN37" i="33" s="1"/>
  <c r="AN36" i="33" s="1"/>
  <c r="AN35" i="33" s="1"/>
  <c r="AN34" i="33" s="1"/>
  <c r="AN33" i="33" s="1"/>
  <c r="AN32" i="33" s="1"/>
  <c r="AN31" i="33" s="1"/>
  <c r="AN30" i="33" s="1"/>
  <c r="AN29" i="33" s="1"/>
  <c r="AN28" i="33" s="1"/>
  <c r="AN27" i="33" s="1"/>
  <c r="AN26" i="33" s="1"/>
  <c r="AN25" i="33" s="1"/>
  <c r="AN24" i="33" s="1"/>
  <c r="AN23" i="33" s="1"/>
  <c r="AN22" i="33" s="1"/>
  <c r="AN21" i="33" s="1"/>
  <c r="AN20" i="33" s="1"/>
  <c r="AN19" i="33" s="1"/>
  <c r="AL25" i="33"/>
  <c r="AL18" i="33"/>
  <c r="AL17" i="33"/>
  <c r="AL35" i="33"/>
  <c r="AL23" i="33"/>
  <c r="AL37" i="33"/>
  <c r="AL26" i="33"/>
  <c r="AL21" i="33"/>
  <c r="AL31" i="33"/>
  <c r="AL28" i="33"/>
  <c r="AL36" i="33"/>
  <c r="AL33" i="33"/>
  <c r="AL19" i="33"/>
  <c r="AL20" i="33"/>
  <c r="AL22" i="33"/>
  <c r="AL24" i="33"/>
  <c r="AL32" i="33"/>
  <c r="AL29" i="33"/>
  <c r="AL38" i="33"/>
  <c r="AL34" i="33"/>
  <c r="D18" i="35"/>
  <c r="AQ18" i="35"/>
  <c r="E18" i="35"/>
  <c r="AR18" i="35"/>
  <c r="A19" i="35"/>
  <c r="AO18" i="35"/>
  <c r="AP18" i="35"/>
  <c r="H7" i="35"/>
  <c r="AM43" i="35"/>
  <c r="AL44" i="35"/>
  <c r="AM41" i="35"/>
  <c r="AM44" i="35"/>
  <c r="P5" i="37"/>
  <c r="B18" i="37"/>
  <c r="C18" i="37" s="1"/>
  <c r="B17" i="37"/>
  <c r="C17" i="37" s="1"/>
  <c r="B19" i="37"/>
  <c r="C19" i="37" s="1"/>
  <c r="AG6" i="38"/>
  <c r="H17" i="38"/>
  <c r="F17" i="31"/>
  <c r="O17" i="31"/>
  <c r="P17" i="31" s="1"/>
  <c r="Q17" i="31" s="1"/>
  <c r="AJ46" i="31"/>
  <c r="Z47" i="31"/>
  <c r="AM46" i="31"/>
  <c r="G9" i="38"/>
  <c r="G7" i="36"/>
  <c r="L11" i="36"/>
  <c r="B17" i="35"/>
  <c r="C17" i="35" s="1"/>
  <c r="P5" i="35"/>
  <c r="D19" i="31"/>
  <c r="E19" i="31"/>
  <c r="G19" i="31"/>
  <c r="AO19" i="31"/>
  <c r="AP19" i="31"/>
  <c r="AQ19" i="31"/>
  <c r="AR19" i="31"/>
  <c r="AG6" i="36"/>
  <c r="AG5" i="35"/>
  <c r="T13" i="35" s="1"/>
  <c r="AG17" i="35"/>
  <c r="AH17" i="35"/>
  <c r="AI17" i="35"/>
  <c r="AD17" i="35" s="1"/>
  <c r="AJ17" i="35"/>
  <c r="A20" i="31"/>
  <c r="C9" i="34"/>
  <c r="AB6" i="34" s="1"/>
  <c r="AB7" i="34" s="1"/>
  <c r="C11" i="34" s="1"/>
  <c r="D18" i="38"/>
  <c r="F18" i="38" s="1"/>
  <c r="AO18" i="38"/>
  <c r="E18" i="38"/>
  <c r="AP18" i="38"/>
  <c r="AG11" i="35"/>
  <c r="AL19" i="35"/>
  <c r="AL45" i="31"/>
  <c r="AM45" i="31"/>
  <c r="AA45" i="31"/>
  <c r="O18" i="31"/>
  <c r="P18" i="31" s="1"/>
  <c r="Q18" i="31" s="1"/>
  <c r="G9" i="31"/>
  <c r="O19" i="31"/>
  <c r="P19" i="31" s="1"/>
  <c r="Q19" i="31" s="1"/>
  <c r="L12" i="31"/>
  <c r="Y44" i="31"/>
  <c r="D18" i="33"/>
  <c r="F18" i="33" s="1"/>
  <c r="AO18" i="33"/>
  <c r="AP18" i="33"/>
  <c r="AQ18" i="33"/>
  <c r="AR18" i="33"/>
  <c r="B18" i="33"/>
  <c r="C18" i="33" s="1"/>
  <c r="E18" i="33"/>
  <c r="A19" i="33"/>
  <c r="G7" i="27"/>
  <c r="L11" i="27"/>
  <c r="F19" i="37"/>
  <c r="AN44" i="35"/>
  <c r="AQ18" i="36"/>
  <c r="AR18" i="36"/>
  <c r="O17" i="35"/>
  <c r="P17" i="35" s="1"/>
  <c r="Q17" i="35" s="1"/>
  <c r="O18" i="35"/>
  <c r="P18" i="35" s="1"/>
  <c r="Q18" i="35" s="1"/>
  <c r="Y44" i="35"/>
  <c r="AL42" i="35" s="1"/>
  <c r="L8" i="31"/>
  <c r="AL20" i="31"/>
  <c r="AL21" i="31"/>
  <c r="AL17" i="31"/>
  <c r="AL18" i="31"/>
  <c r="AL22" i="31"/>
  <c r="AL24" i="31"/>
  <c r="AL31" i="31"/>
  <c r="AL33" i="31"/>
  <c r="AL26" i="31"/>
  <c r="AL35" i="31"/>
  <c r="AL38" i="31"/>
  <c r="AB9" i="37"/>
  <c r="G5" i="37"/>
  <c r="A19" i="36"/>
  <c r="G19" i="36" s="1"/>
  <c r="AN44" i="31"/>
  <c r="AM43" i="31"/>
  <c r="AL34" i="31"/>
  <c r="A20" i="37"/>
  <c r="AO19" i="37"/>
  <c r="AR19" i="37"/>
  <c r="G5" i="27"/>
  <c r="AB9" i="27"/>
  <c r="G5" i="33"/>
  <c r="AB9" i="33"/>
  <c r="B17" i="33"/>
  <c r="C17" i="33" s="1"/>
  <c r="P5" i="33"/>
  <c r="G17" i="31"/>
  <c r="AR18" i="37"/>
  <c r="D18" i="37"/>
  <c r="E18" i="37"/>
  <c r="AJ17" i="33"/>
  <c r="Y17" i="33"/>
  <c r="Z17" i="33" s="1"/>
  <c r="J17" i="33" s="1"/>
  <c r="AB41" i="33"/>
  <c r="AD41" i="33" s="1"/>
  <c r="AC41" i="33"/>
  <c r="AE41" i="33" s="1"/>
  <c r="AH41" i="33" s="1"/>
  <c r="AG3" i="33"/>
  <c r="AG4" i="33" s="1"/>
  <c r="AB43" i="33"/>
  <c r="AD43" i="33" s="1"/>
  <c r="AC43" i="33"/>
  <c r="AE43" i="33" s="1"/>
  <c r="AH43" i="33" s="1"/>
  <c r="Z45" i="35"/>
  <c r="L12" i="37"/>
  <c r="Y44" i="37"/>
  <c r="AM42" i="37" s="1"/>
  <c r="O18" i="37"/>
  <c r="P18" i="37" s="1"/>
  <c r="Q18" i="37" s="1"/>
  <c r="O19" i="37"/>
  <c r="P19" i="37" s="1"/>
  <c r="Q19" i="37" s="1"/>
  <c r="AA43" i="33"/>
  <c r="Z44" i="33"/>
  <c r="AJ43" i="33"/>
  <c r="AK43" i="33"/>
  <c r="L11" i="32"/>
  <c r="G7" i="32"/>
  <c r="G9" i="32" s="1"/>
  <c r="AG9" i="33"/>
  <c r="E17" i="39"/>
  <c r="F17" i="39" s="1"/>
  <c r="E18" i="39"/>
  <c r="C10" i="32"/>
  <c r="AB12" i="32" s="1"/>
  <c r="AB11" i="32"/>
  <c r="L6" i="32"/>
  <c r="G19" i="39"/>
  <c r="G18" i="39"/>
  <c r="G17" i="39"/>
  <c r="C19" i="31"/>
  <c r="AL26" i="37"/>
  <c r="AN38" i="37"/>
  <c r="AN37" i="37" s="1"/>
  <c r="AN36" i="37" s="1"/>
  <c r="AN35" i="37" s="1"/>
  <c r="AN34" i="37" s="1"/>
  <c r="AN33" i="37" s="1"/>
  <c r="AN32" i="37" s="1"/>
  <c r="AN31" i="37" s="1"/>
  <c r="AN30" i="37" s="1"/>
  <c r="AN29" i="37" s="1"/>
  <c r="AN28" i="37" s="1"/>
  <c r="AN27" i="37" s="1"/>
  <c r="AN26" i="37" s="1"/>
  <c r="AN25" i="37" s="1"/>
  <c r="AN24" i="37" s="1"/>
  <c r="AN23" i="37" s="1"/>
  <c r="AN22" i="37" s="1"/>
  <c r="AN21" i="37" s="1"/>
  <c r="AN20" i="37" s="1"/>
  <c r="AN19" i="37" s="1"/>
  <c r="AL29" i="37"/>
  <c r="AL24" i="37"/>
  <c r="AL30" i="37"/>
  <c r="AL31" i="37"/>
  <c r="AL38" i="37"/>
  <c r="AL18" i="37"/>
  <c r="AL32" i="37"/>
  <c r="AL33" i="37"/>
  <c r="AA42" i="33"/>
  <c r="AN44" i="39"/>
  <c r="AP19" i="39"/>
  <c r="E19" i="39"/>
  <c r="A20" i="39"/>
  <c r="AO19" i="39"/>
  <c r="AQ19" i="39"/>
  <c r="D19" i="39"/>
  <c r="F19" i="39" s="1"/>
  <c r="AR19" i="39"/>
  <c r="O17" i="33"/>
  <c r="P17" i="33" s="1"/>
  <c r="Q17" i="33" s="1"/>
  <c r="O18" i="33"/>
  <c r="P18" i="33" s="1"/>
  <c r="Q18" i="33" s="1"/>
  <c r="L13" i="33"/>
  <c r="AJ44" i="39"/>
  <c r="Z45" i="39"/>
  <c r="AK44" i="39"/>
  <c r="F18" i="39"/>
  <c r="L11" i="39"/>
  <c r="G7" i="39"/>
  <c r="G9" i="39" s="1"/>
  <c r="H17" i="32"/>
  <c r="AG6" i="32"/>
  <c r="AB11" i="39"/>
  <c r="C9" i="39" s="1"/>
  <c r="AB6" i="39" s="1"/>
  <c r="L6" i="39"/>
  <c r="F18" i="32"/>
  <c r="G18" i="33"/>
  <c r="Z44" i="32"/>
  <c r="AJ43" i="32"/>
  <c r="AK43" i="32"/>
  <c r="G9" i="33"/>
  <c r="AL43" i="33" s="1"/>
  <c r="AG6" i="27"/>
  <c r="H17" i="27"/>
  <c r="A19" i="32"/>
  <c r="G18" i="32"/>
  <c r="G19" i="27"/>
  <c r="AQ19" i="27"/>
  <c r="E19" i="27"/>
  <c r="AR19" i="27"/>
  <c r="A20" i="27"/>
  <c r="D19" i="27"/>
  <c r="F19" i="27" s="1"/>
  <c r="AO19" i="27"/>
  <c r="AP19" i="27"/>
  <c r="B18" i="27"/>
  <c r="C18" i="27" s="1"/>
  <c r="AO18" i="27"/>
  <c r="D18" i="27"/>
  <c r="E18" i="27"/>
  <c r="AK44" i="27"/>
  <c r="Z45" i="27"/>
  <c r="AJ44" i="27"/>
  <c r="L13" i="27"/>
  <c r="AG9" i="36" l="1"/>
  <c r="I17" i="36"/>
  <c r="AB7" i="39"/>
  <c r="C11" i="39" s="1"/>
  <c r="H19" i="27"/>
  <c r="I19" i="27" s="1"/>
  <c r="AK19" i="27"/>
  <c r="H18" i="33"/>
  <c r="I18" i="33" s="1"/>
  <c r="AK18" i="33"/>
  <c r="AL45" i="35"/>
  <c r="Z46" i="35"/>
  <c r="AA45" i="35"/>
  <c r="AM45" i="35"/>
  <c r="AK45" i="35"/>
  <c r="AJ45" i="35"/>
  <c r="AJ44" i="36"/>
  <c r="Z45" i="36"/>
  <c r="AK44" i="36"/>
  <c r="D21" i="34"/>
  <c r="AO21" i="34"/>
  <c r="AP21" i="34"/>
  <c r="AQ21" i="34"/>
  <c r="AR21" i="34"/>
  <c r="A22" i="34"/>
  <c r="B21" i="34"/>
  <c r="C21" i="34" s="1"/>
  <c r="E21" i="34"/>
  <c r="AK18" i="38"/>
  <c r="H18" i="38"/>
  <c r="I18" i="38" s="1"/>
  <c r="AI18" i="38" s="1"/>
  <c r="O17" i="32"/>
  <c r="P17" i="32" s="1"/>
  <c r="Q17" i="32" s="1"/>
  <c r="O18" i="32"/>
  <c r="P18" i="32" s="1"/>
  <c r="Q18" i="32" s="1"/>
  <c r="O19" i="32"/>
  <c r="P19" i="32" s="1"/>
  <c r="Q19" i="32" s="1"/>
  <c r="L12" i="32"/>
  <c r="Y44" i="32"/>
  <c r="AA44" i="38"/>
  <c r="AM44" i="38"/>
  <c r="Z45" i="38"/>
  <c r="AL44" i="38"/>
  <c r="AJ44" i="38"/>
  <c r="AK44" i="38"/>
  <c r="AG9" i="32"/>
  <c r="I17" i="32"/>
  <c r="AG11" i="33"/>
  <c r="AI18" i="33"/>
  <c r="AD18" i="33" s="1"/>
  <c r="H18" i="36"/>
  <c r="I18" i="36" s="1"/>
  <c r="AA43" i="31"/>
  <c r="AA44" i="31"/>
  <c r="AA46" i="31"/>
  <c r="AA41" i="31"/>
  <c r="AM42" i="35"/>
  <c r="AJ43" i="37"/>
  <c r="AK43" i="37"/>
  <c r="AA43" i="37"/>
  <c r="Z44" i="37"/>
  <c r="AM43" i="37"/>
  <c r="AL43" i="37"/>
  <c r="F20" i="34"/>
  <c r="O20" i="34"/>
  <c r="P20" i="34" s="1"/>
  <c r="Q20" i="34" s="1"/>
  <c r="AQ19" i="36"/>
  <c r="B19" i="36"/>
  <c r="C19" i="36" s="1"/>
  <c r="AR19" i="36"/>
  <c r="A20" i="36"/>
  <c r="D19" i="36"/>
  <c r="E19" i="36"/>
  <c r="AO19" i="36"/>
  <c r="AP19" i="36"/>
  <c r="L13" i="32"/>
  <c r="AG9" i="38"/>
  <c r="AG11" i="38" s="1"/>
  <c r="I17" i="38"/>
  <c r="AH18" i="34"/>
  <c r="AI18" i="34"/>
  <c r="AG3" i="34"/>
  <c r="AG4" i="34" s="1"/>
  <c r="AJ18" i="34"/>
  <c r="Y18" i="34"/>
  <c r="Z18" i="34" s="1"/>
  <c r="J18" i="34" s="1"/>
  <c r="AG5" i="34"/>
  <c r="T13" i="34" s="1"/>
  <c r="AE18" i="34"/>
  <c r="AB18" i="34" s="1"/>
  <c r="AF18" i="34"/>
  <c r="AG18" i="34"/>
  <c r="AC18" i="34" s="1"/>
  <c r="H18" i="32"/>
  <c r="I18" i="32" s="1"/>
  <c r="AK18" i="32"/>
  <c r="H7" i="32"/>
  <c r="AL41" i="32"/>
  <c r="AB9" i="34"/>
  <c r="G5" i="34"/>
  <c r="B20" i="27"/>
  <c r="C20" i="27" s="1"/>
  <c r="AQ20" i="27"/>
  <c r="AR20" i="27"/>
  <c r="A21" i="27"/>
  <c r="D20" i="27"/>
  <c r="AO20" i="27"/>
  <c r="E20" i="27"/>
  <c r="AP20" i="27"/>
  <c r="G20" i="27"/>
  <c r="AA41" i="38"/>
  <c r="AA42" i="38"/>
  <c r="AB42" i="38" s="1"/>
  <c r="AD42" i="38" s="1"/>
  <c r="AA43" i="38"/>
  <c r="AB43" i="38" s="1"/>
  <c r="AD43" i="38" s="1"/>
  <c r="Z46" i="27"/>
  <c r="AJ45" i="27"/>
  <c r="AK45" i="27"/>
  <c r="F18" i="37"/>
  <c r="H17" i="37"/>
  <c r="AK47" i="31"/>
  <c r="AL47" i="31"/>
  <c r="AJ47" i="31"/>
  <c r="AM47" i="31"/>
  <c r="AA47" i="31"/>
  <c r="Z48" i="31"/>
  <c r="AK44" i="32"/>
  <c r="AL44" i="32"/>
  <c r="AM44" i="32"/>
  <c r="AA44" i="32"/>
  <c r="Z45" i="32"/>
  <c r="AJ44" i="32"/>
  <c r="AF17" i="33"/>
  <c r="AI17" i="33"/>
  <c r="AD17" i="33" s="1"/>
  <c r="H19" i="37"/>
  <c r="I19" i="37" s="1"/>
  <c r="AK19" i="37"/>
  <c r="B20" i="39"/>
  <c r="C20" i="39" s="1"/>
  <c r="AO20" i="39"/>
  <c r="AR20" i="39"/>
  <c r="A21" i="39"/>
  <c r="AP20" i="39"/>
  <c r="D20" i="39"/>
  <c r="AQ20" i="39"/>
  <c r="G20" i="39"/>
  <c r="E20" i="39"/>
  <c r="AA41" i="37"/>
  <c r="AA42" i="37"/>
  <c r="F19" i="31"/>
  <c r="L17" i="35"/>
  <c r="AA17" i="35"/>
  <c r="G9" i="36"/>
  <c r="AL43" i="35"/>
  <c r="AL42" i="37"/>
  <c r="AL41" i="33"/>
  <c r="H7" i="33"/>
  <c r="AM41" i="33"/>
  <c r="AL42" i="33"/>
  <c r="AK1" i="33"/>
  <c r="AK3" i="33" s="1"/>
  <c r="AK4" i="33" s="1"/>
  <c r="AE18" i="33"/>
  <c r="AG17" i="33"/>
  <c r="AH17" i="33"/>
  <c r="AG5" i="33"/>
  <c r="T13" i="33" s="1"/>
  <c r="AJ19" i="37"/>
  <c r="AF19" i="37"/>
  <c r="AG19" i="37"/>
  <c r="AC19" i="37" s="1"/>
  <c r="Y19" i="37"/>
  <c r="Z19" i="37" s="1"/>
  <c r="J19" i="37" s="1"/>
  <c r="AE19" i="37"/>
  <c r="AH19" i="37"/>
  <c r="AI19" i="37"/>
  <c r="AG5" i="37"/>
  <c r="T13" i="37" s="1"/>
  <c r="AG3" i="37"/>
  <c r="AG4" i="37" s="1"/>
  <c r="H7" i="39"/>
  <c r="AL41" i="39"/>
  <c r="AL42" i="39"/>
  <c r="AM42" i="39"/>
  <c r="AM41" i="39"/>
  <c r="AL43" i="39"/>
  <c r="AM43" i="39"/>
  <c r="O20" i="39"/>
  <c r="P20" i="39" s="1"/>
  <c r="Q20" i="39" s="1"/>
  <c r="L12" i="39"/>
  <c r="O17" i="39"/>
  <c r="P17" i="39" s="1"/>
  <c r="Q17" i="39" s="1"/>
  <c r="O19" i="39"/>
  <c r="P19" i="39" s="1"/>
  <c r="Q19" i="39" s="1"/>
  <c r="Y44" i="39"/>
  <c r="L13" i="39"/>
  <c r="O18" i="39"/>
  <c r="P18" i="39" s="1"/>
  <c r="Q18" i="39" s="1"/>
  <c r="L8" i="32"/>
  <c r="AL19" i="32"/>
  <c r="AL22" i="32"/>
  <c r="AL25" i="32"/>
  <c r="AL28" i="32"/>
  <c r="AL18" i="32"/>
  <c r="AL29" i="32"/>
  <c r="AL32" i="32"/>
  <c r="AL35" i="32"/>
  <c r="AL38" i="32"/>
  <c r="AL30" i="32"/>
  <c r="AL31" i="32"/>
  <c r="AL24" i="32"/>
  <c r="AL27" i="32"/>
  <c r="AL21" i="32"/>
  <c r="AL23" i="32"/>
  <c r="AL33" i="32"/>
  <c r="AN38" i="32"/>
  <c r="AN37" i="32" s="1"/>
  <c r="AN36" i="32" s="1"/>
  <c r="AN35" i="32" s="1"/>
  <c r="AN34" i="32" s="1"/>
  <c r="AN33" i="32" s="1"/>
  <c r="AN32" i="32" s="1"/>
  <c r="AN31" i="32" s="1"/>
  <c r="AN30" i="32" s="1"/>
  <c r="AN29" i="32" s="1"/>
  <c r="AN28" i="32" s="1"/>
  <c r="AN27" i="32" s="1"/>
  <c r="AN26" i="32" s="1"/>
  <c r="AN25" i="32" s="1"/>
  <c r="AN24" i="32" s="1"/>
  <c r="AN23" i="32" s="1"/>
  <c r="AN22" i="32" s="1"/>
  <c r="AN21" i="32" s="1"/>
  <c r="AN20" i="32" s="1"/>
  <c r="AN19" i="32" s="1"/>
  <c r="AL20" i="32"/>
  <c r="AL17" i="32"/>
  <c r="AL36" i="32"/>
  <c r="AL37" i="32"/>
  <c r="AL34" i="32"/>
  <c r="AL26" i="32"/>
  <c r="AL44" i="39"/>
  <c r="Y44" i="27"/>
  <c r="L12" i="27"/>
  <c r="O18" i="27"/>
  <c r="P18" i="27" s="1"/>
  <c r="Q18" i="27" s="1"/>
  <c r="O17" i="27"/>
  <c r="P17" i="27" s="1"/>
  <c r="Q17" i="27" s="1"/>
  <c r="O19" i="27"/>
  <c r="P19" i="27" s="1"/>
  <c r="Q19" i="27" s="1"/>
  <c r="O20" i="27"/>
  <c r="P20" i="27" s="1"/>
  <c r="Q20" i="27" s="1"/>
  <c r="AL41" i="35"/>
  <c r="B20" i="38"/>
  <c r="C20" i="38" s="1"/>
  <c r="AR20" i="38"/>
  <c r="A21" i="38"/>
  <c r="D20" i="38"/>
  <c r="AO20" i="38"/>
  <c r="G20" i="38"/>
  <c r="E20" i="38"/>
  <c r="AP20" i="38"/>
  <c r="AQ20" i="38"/>
  <c r="AL44" i="33"/>
  <c r="AJ44" i="33"/>
  <c r="Z45" i="33"/>
  <c r="AK44" i="33"/>
  <c r="AA44" i="33"/>
  <c r="AM44" i="33"/>
  <c r="AC42" i="33"/>
  <c r="AE42" i="33" s="1"/>
  <c r="AH42" i="33" s="1"/>
  <c r="AF18" i="33"/>
  <c r="H17" i="31"/>
  <c r="AG6" i="31"/>
  <c r="AM43" i="33"/>
  <c r="AR19" i="33"/>
  <c r="A20" i="33"/>
  <c r="D19" i="33"/>
  <c r="E19" i="33"/>
  <c r="AQ19" i="33"/>
  <c r="G19" i="33"/>
  <c r="B19" i="33"/>
  <c r="C19" i="33" s="1"/>
  <c r="AO19" i="33"/>
  <c r="AP19" i="33"/>
  <c r="AM41" i="38"/>
  <c r="H7" i="38"/>
  <c r="AL41" i="38"/>
  <c r="AM42" i="38"/>
  <c r="AL42" i="38"/>
  <c r="AB17" i="35"/>
  <c r="K17" i="35" s="1"/>
  <c r="AM43" i="38"/>
  <c r="O18" i="38"/>
  <c r="P18" i="38" s="1"/>
  <c r="Q18" i="38" s="1"/>
  <c r="AG19" i="38"/>
  <c r="Y17" i="38"/>
  <c r="Z17" i="38" s="1"/>
  <c r="J17" i="38" s="1"/>
  <c r="AF18" i="38"/>
  <c r="AE19" i="38"/>
  <c r="AB19" i="38" s="1"/>
  <c r="AF19" i="38"/>
  <c r="AI19" i="38"/>
  <c r="AD19" i="38" s="1"/>
  <c r="AE17" i="38"/>
  <c r="AB17" i="38" s="1"/>
  <c r="K17" i="38" s="1"/>
  <c r="AG5" i="38"/>
  <c r="T13" i="38" s="1"/>
  <c r="Y19" i="38"/>
  <c r="Z19" i="38" s="1"/>
  <c r="J19" i="38" s="1"/>
  <c r="AH17" i="38"/>
  <c r="AI17" i="38"/>
  <c r="AD17" i="38" s="1"/>
  <c r="AJ17" i="38"/>
  <c r="AF17" i="38"/>
  <c r="AG3" i="38"/>
  <c r="AG4" i="38" s="1"/>
  <c r="AG17" i="38"/>
  <c r="AC17" i="38" s="1"/>
  <c r="E20" i="31"/>
  <c r="AR20" i="31"/>
  <c r="A21" i="31"/>
  <c r="AO20" i="31"/>
  <c r="D20" i="31"/>
  <c r="AP20" i="31"/>
  <c r="AQ20" i="31"/>
  <c r="B20" i="31"/>
  <c r="C20" i="31" s="1"/>
  <c r="AR19" i="35"/>
  <c r="D19" i="35"/>
  <c r="E19" i="35"/>
  <c r="AO19" i="35"/>
  <c r="G19" i="35"/>
  <c r="AP19" i="35"/>
  <c r="AQ19" i="35"/>
  <c r="B19" i="35"/>
  <c r="C19" i="35" s="1"/>
  <c r="A20" i="35"/>
  <c r="AG10" i="33"/>
  <c r="AG12" i="33" s="1"/>
  <c r="G11" i="33" s="1"/>
  <c r="AK19" i="39"/>
  <c r="H19" i="39"/>
  <c r="I19" i="39" s="1"/>
  <c r="AG6" i="34"/>
  <c r="H17" i="34"/>
  <c r="AK18" i="39"/>
  <c r="H18" i="39"/>
  <c r="I18" i="39" s="1"/>
  <c r="AK19" i="38"/>
  <c r="H19" i="38"/>
  <c r="I19" i="38" s="1"/>
  <c r="AJ19" i="38" s="1"/>
  <c r="AM44" i="39"/>
  <c r="F18" i="35"/>
  <c r="F19" i="34"/>
  <c r="O19" i="34"/>
  <c r="P19" i="34" s="1"/>
  <c r="Q19" i="34" s="1"/>
  <c r="AL21" i="39"/>
  <c r="AL24" i="39"/>
  <c r="AL27" i="39"/>
  <c r="AL30" i="39"/>
  <c r="AL33" i="39"/>
  <c r="AL36" i="39"/>
  <c r="AL29" i="39"/>
  <c r="AL18" i="39"/>
  <c r="AL31" i="39"/>
  <c r="AL32" i="39"/>
  <c r="AL17" i="39"/>
  <c r="AL19" i="39"/>
  <c r="AL38" i="39"/>
  <c r="AL20" i="39"/>
  <c r="AL25" i="39"/>
  <c r="AL37" i="39"/>
  <c r="AN38" i="39"/>
  <c r="AN37" i="39" s="1"/>
  <c r="AN36" i="39" s="1"/>
  <c r="AN35" i="39" s="1"/>
  <c r="AN34" i="39" s="1"/>
  <c r="AN33" i="39" s="1"/>
  <c r="AN32" i="39" s="1"/>
  <c r="AN31" i="39" s="1"/>
  <c r="AN30" i="39" s="1"/>
  <c r="AN29" i="39" s="1"/>
  <c r="AN28" i="39" s="1"/>
  <c r="AN27" i="39" s="1"/>
  <c r="AN26" i="39" s="1"/>
  <c r="AN25" i="39" s="1"/>
  <c r="AN24" i="39" s="1"/>
  <c r="AN23" i="39" s="1"/>
  <c r="AN22" i="39" s="1"/>
  <c r="AN21" i="39" s="1"/>
  <c r="AN20" i="39" s="1"/>
  <c r="AN19" i="39" s="1"/>
  <c r="AL22" i="39"/>
  <c r="AL35" i="39"/>
  <c r="AL23" i="39"/>
  <c r="AL26" i="39"/>
  <c r="L8" i="39"/>
  <c r="AL28" i="39"/>
  <c r="AL34" i="39"/>
  <c r="C9" i="32"/>
  <c r="AB6" i="32" s="1"/>
  <c r="AA42" i="35"/>
  <c r="AA43" i="35"/>
  <c r="AA41" i="35"/>
  <c r="AA44" i="35"/>
  <c r="F18" i="27"/>
  <c r="AG43" i="33"/>
  <c r="AF43" i="33"/>
  <c r="AI43" i="33" s="1"/>
  <c r="AJ18" i="33"/>
  <c r="L12" i="36"/>
  <c r="O19" i="36"/>
  <c r="P19" i="36" s="1"/>
  <c r="Q19" i="36" s="1"/>
  <c r="O18" i="36"/>
  <c r="P18" i="36" s="1"/>
  <c r="Q18" i="36" s="1"/>
  <c r="Y44" i="36"/>
  <c r="O17" i="36"/>
  <c r="P17" i="36" s="1"/>
  <c r="Q17" i="36" s="1"/>
  <c r="AK45" i="39"/>
  <c r="AM45" i="39"/>
  <c r="Z46" i="39"/>
  <c r="AJ45" i="39"/>
  <c r="AL45" i="39"/>
  <c r="AA45" i="39"/>
  <c r="AE17" i="33"/>
  <c r="AB17" i="33" s="1"/>
  <c r="K17" i="33" s="1"/>
  <c r="G9" i="27"/>
  <c r="AC17" i="35"/>
  <c r="B19" i="32"/>
  <c r="C19" i="32" s="1"/>
  <c r="A20" i="32"/>
  <c r="D19" i="32"/>
  <c r="AQ19" i="32"/>
  <c r="AR19" i="32"/>
  <c r="AP19" i="32"/>
  <c r="E19" i="32"/>
  <c r="G19" i="32"/>
  <c r="AO19" i="32"/>
  <c r="AG6" i="39"/>
  <c r="H17" i="39"/>
  <c r="AB42" i="33"/>
  <c r="AD42" i="33" s="1"/>
  <c r="AF41" i="33"/>
  <c r="AI41" i="33" s="1"/>
  <c r="AG41" i="33"/>
  <c r="AK2" i="33"/>
  <c r="D20" i="37"/>
  <c r="AO20" i="37"/>
  <c r="B20" i="37"/>
  <c r="C20" i="37" s="1"/>
  <c r="AP20" i="37"/>
  <c r="AQ20" i="37"/>
  <c r="AR20" i="37"/>
  <c r="A21" i="37"/>
  <c r="E20" i="37"/>
  <c r="AM42" i="31"/>
  <c r="H7" i="31"/>
  <c r="AL41" i="31"/>
  <c r="AM41" i="31"/>
  <c r="AL42" i="31"/>
  <c r="AL44" i="31"/>
  <c r="AM44" i="31"/>
  <c r="AL46" i="31"/>
  <c r="AL43" i="31"/>
  <c r="AG10" i="35"/>
  <c r="AG12" i="35" s="1"/>
  <c r="G11" i="35" s="1"/>
  <c r="I17" i="27"/>
  <c r="AG9" i="27"/>
  <c r="AM42" i="33"/>
  <c r="G20" i="31"/>
  <c r="AG3" i="31"/>
  <c r="AG4" i="31" s="1"/>
  <c r="AI18" i="31"/>
  <c r="AD18" i="31" s="1"/>
  <c r="AG5" i="31"/>
  <c r="T13" i="31" s="1"/>
  <c r="AG18" i="31"/>
  <c r="AH18" i="31"/>
  <c r="AE18" i="31"/>
  <c r="AB18" i="31" s="1"/>
  <c r="AF18" i="31"/>
  <c r="AJ18" i="31"/>
  <c r="Y18" i="31"/>
  <c r="Z18" i="31" s="1"/>
  <c r="J18" i="31" s="1"/>
  <c r="AK1" i="35"/>
  <c r="AK3" i="35" s="1"/>
  <c r="AK4" i="35" s="1"/>
  <c r="AA42" i="31"/>
  <c r="AL43" i="38"/>
  <c r="AJ43" i="34"/>
  <c r="AK43" i="34"/>
  <c r="Z44" i="34"/>
  <c r="AL43" i="34"/>
  <c r="AM43" i="34"/>
  <c r="AA43" i="34"/>
  <c r="L19" i="38" l="1"/>
  <c r="AA19" i="38"/>
  <c r="N19" i="38"/>
  <c r="AF42" i="38"/>
  <c r="AI42" i="38" s="1"/>
  <c r="AG42" i="38"/>
  <c r="H20" i="34"/>
  <c r="I20" i="34" s="1"/>
  <c r="AK20" i="34"/>
  <c r="U17" i="35"/>
  <c r="AG9" i="37"/>
  <c r="I17" i="37"/>
  <c r="AA18" i="33"/>
  <c r="N18" i="33"/>
  <c r="AK18" i="35"/>
  <c r="H18" i="35"/>
  <c r="I18" i="35" s="1"/>
  <c r="AK1" i="38"/>
  <c r="AK3" i="38" s="1"/>
  <c r="AK4" i="38" s="1"/>
  <c r="D20" i="33"/>
  <c r="E20" i="33"/>
  <c r="G20" i="33"/>
  <c r="AP20" i="33"/>
  <c r="AQ20" i="33"/>
  <c r="AR20" i="33"/>
  <c r="B20" i="33"/>
  <c r="C20" i="33" s="1"/>
  <c r="A21" i="33"/>
  <c r="AO20" i="33"/>
  <c r="AM45" i="32"/>
  <c r="Z46" i="32"/>
  <c r="AA45" i="32"/>
  <c r="AC45" i="32" s="1"/>
  <c r="AE45" i="32" s="1"/>
  <c r="AH45" i="32" s="1"/>
  <c r="AJ45" i="32"/>
  <c r="AK45" i="32"/>
  <c r="AL45" i="32"/>
  <c r="AB41" i="31"/>
  <c r="AD41" i="31" s="1"/>
  <c r="T17" i="35"/>
  <c r="I17" i="34"/>
  <c r="AG9" i="34"/>
  <c r="AG43" i="38"/>
  <c r="AG42" i="33"/>
  <c r="AF42" i="33"/>
  <c r="AI42" i="33" s="1"/>
  <c r="M17" i="35"/>
  <c r="S17" i="35"/>
  <c r="K18" i="31"/>
  <c r="AL42" i="27"/>
  <c r="AL43" i="27"/>
  <c r="H7" i="27"/>
  <c r="AL41" i="27"/>
  <c r="AM43" i="27"/>
  <c r="AM41" i="27"/>
  <c r="AM42" i="27"/>
  <c r="AL44" i="27"/>
  <c r="AM44" i="27"/>
  <c r="AL45" i="27"/>
  <c r="AM45" i="27"/>
  <c r="H19" i="34"/>
  <c r="I19" i="34" s="1"/>
  <c r="AK19" i="34"/>
  <c r="M17" i="38"/>
  <c r="U17" i="38" s="1"/>
  <c r="S17" i="38"/>
  <c r="B21" i="39"/>
  <c r="C21" i="39" s="1"/>
  <c r="AO21" i="39"/>
  <c r="AP21" i="39"/>
  <c r="AR21" i="39"/>
  <c r="AQ21" i="39"/>
  <c r="A22" i="39"/>
  <c r="D21" i="39"/>
  <c r="E21" i="39"/>
  <c r="G21" i="39"/>
  <c r="AE19" i="27"/>
  <c r="AB19" i="27" s="1"/>
  <c r="K19" i="27" s="1"/>
  <c r="AK1" i="27"/>
  <c r="AK3" i="27" s="1"/>
  <c r="AK4" i="27" s="1"/>
  <c r="AK2" i="27"/>
  <c r="AG5" i="27"/>
  <c r="T13" i="27" s="1"/>
  <c r="AG10" i="27"/>
  <c r="AG3" i="27"/>
  <c r="AG4" i="27" s="1"/>
  <c r="Y17" i="27"/>
  <c r="Z17" i="27" s="1"/>
  <c r="J17" i="27" s="1"/>
  <c r="AJ18" i="27"/>
  <c r="AI17" i="27"/>
  <c r="Y19" i="27"/>
  <c r="Z19" i="27" s="1"/>
  <c r="J19" i="27" s="1"/>
  <c r="AG11" i="27"/>
  <c r="AB45" i="27"/>
  <c r="AD45" i="27" s="1"/>
  <c r="AG17" i="27"/>
  <c r="AH17" i="27"/>
  <c r="AI18" i="27"/>
  <c r="AD18" i="27" s="1"/>
  <c r="AJ17" i="27"/>
  <c r="AF19" i="27"/>
  <c r="AE17" i="27"/>
  <c r="AB17" i="27" s="1"/>
  <c r="K17" i="27" s="1"/>
  <c r="AF17" i="27"/>
  <c r="AC43" i="27"/>
  <c r="AE43" i="27" s="1"/>
  <c r="AH43" i="27" s="1"/>
  <c r="AF18" i="27"/>
  <c r="AG19" i="27"/>
  <c r="Y18" i="27"/>
  <c r="Z18" i="27" s="1"/>
  <c r="J18" i="27" s="1"/>
  <c r="AH19" i="27"/>
  <c r="AI19" i="27"/>
  <c r="AJ19" i="27"/>
  <c r="AC43" i="34"/>
  <c r="AE43" i="34" s="1"/>
  <c r="AH43" i="34" s="1"/>
  <c r="AB43" i="34"/>
  <c r="AD43" i="34" s="1"/>
  <c r="AC41" i="38"/>
  <c r="AE41" i="38" s="1"/>
  <c r="AH41" i="38" s="1"/>
  <c r="AB41" i="38"/>
  <c r="AD41" i="38" s="1"/>
  <c r="AC44" i="31"/>
  <c r="AE44" i="31" s="1"/>
  <c r="AH44" i="31" s="1"/>
  <c r="AB44" i="31"/>
  <c r="AD44" i="31" s="1"/>
  <c r="AJ45" i="38"/>
  <c r="AK45" i="38"/>
  <c r="AM45" i="38"/>
  <c r="Z46" i="38"/>
  <c r="AA45" i="38"/>
  <c r="AL45" i="38"/>
  <c r="AP20" i="32"/>
  <c r="AQ20" i="32"/>
  <c r="AR20" i="32"/>
  <c r="A21" i="32"/>
  <c r="E20" i="32"/>
  <c r="B20" i="32"/>
  <c r="C20" i="32" s="1"/>
  <c r="AO20" i="32"/>
  <c r="D20" i="32"/>
  <c r="G20" i="32"/>
  <c r="AB7" i="32"/>
  <c r="C11" i="32" s="1"/>
  <c r="AA18" i="31"/>
  <c r="L18" i="31"/>
  <c r="N18" i="31"/>
  <c r="AC43" i="38"/>
  <c r="AE43" i="38" s="1"/>
  <c r="AH43" i="38" s="1"/>
  <c r="AC42" i="38"/>
  <c r="AE42" i="38" s="1"/>
  <c r="AH42" i="38" s="1"/>
  <c r="F20" i="37"/>
  <c r="O20" i="37"/>
  <c r="P20" i="37" s="1"/>
  <c r="Q20" i="37" s="1"/>
  <c r="G20" i="35"/>
  <c r="AR20" i="35"/>
  <c r="A21" i="35"/>
  <c r="E20" i="35"/>
  <c r="AO20" i="35"/>
  <c r="AP20" i="35"/>
  <c r="D20" i="35"/>
  <c r="AQ20" i="35"/>
  <c r="B20" i="35"/>
  <c r="C20" i="35" s="1"/>
  <c r="AK2" i="38"/>
  <c r="AA42" i="27"/>
  <c r="AA43" i="27"/>
  <c r="AA41" i="27"/>
  <c r="AC41" i="27" s="1"/>
  <c r="AE41" i="27" s="1"/>
  <c r="AH41" i="27" s="1"/>
  <c r="AA44" i="27"/>
  <c r="AA45" i="27"/>
  <c r="AC45" i="27" s="1"/>
  <c r="AE45" i="27" s="1"/>
  <c r="AH45" i="27" s="1"/>
  <c r="AC17" i="33"/>
  <c r="AK19" i="31"/>
  <c r="H19" i="31"/>
  <c r="I19" i="31" s="1"/>
  <c r="K18" i="34"/>
  <c r="M18" i="34" s="1"/>
  <c r="AB44" i="38"/>
  <c r="AD44" i="38" s="1"/>
  <c r="I17" i="39"/>
  <c r="Y17" i="39" s="1"/>
  <c r="Z17" i="39" s="1"/>
  <c r="J17" i="39" s="1"/>
  <c r="AG9" i="39"/>
  <c r="AK2" i="39" s="1"/>
  <c r="F19" i="33"/>
  <c r="O19" i="33"/>
  <c r="P19" i="33" s="1"/>
  <c r="Q19" i="33" s="1"/>
  <c r="AG10" i="38"/>
  <c r="AG12" i="38" s="1"/>
  <c r="G11" i="38" s="1"/>
  <c r="AA41" i="36"/>
  <c r="AA42" i="36"/>
  <c r="AB42" i="36" s="1"/>
  <c r="AD42" i="36" s="1"/>
  <c r="AA43" i="36"/>
  <c r="AC43" i="36" s="1"/>
  <c r="AE43" i="36" s="1"/>
  <c r="AH43" i="36" s="1"/>
  <c r="AL44" i="36"/>
  <c r="AM44" i="36"/>
  <c r="AA44" i="36"/>
  <c r="F20" i="31"/>
  <c r="O20" i="31"/>
  <c r="P20" i="31" s="1"/>
  <c r="Q20" i="31" s="1"/>
  <c r="K19" i="38"/>
  <c r="I17" i="31"/>
  <c r="AG9" i="31"/>
  <c r="AJ44" i="34"/>
  <c r="AA44" i="34"/>
  <c r="AL44" i="34"/>
  <c r="AM44" i="34"/>
  <c r="AK44" i="34"/>
  <c r="Z45" i="34"/>
  <c r="B21" i="31"/>
  <c r="C21" i="31" s="1"/>
  <c r="D21" i="31"/>
  <c r="E21" i="31"/>
  <c r="G21" i="31"/>
  <c r="AO21" i="31"/>
  <c r="AP21" i="31"/>
  <c r="AQ21" i="31"/>
  <c r="AR21" i="31"/>
  <c r="A22" i="31"/>
  <c r="AA17" i="38"/>
  <c r="L17" i="38"/>
  <c r="T17" i="38"/>
  <c r="AD19" i="37"/>
  <c r="AC42" i="37"/>
  <c r="AE42" i="37" s="1"/>
  <c r="AH42" i="37" s="1"/>
  <c r="AC19" i="38"/>
  <c r="M19" i="38" s="1"/>
  <c r="M19" i="37"/>
  <c r="AB41" i="37"/>
  <c r="AD41" i="37" s="1"/>
  <c r="AC43" i="37"/>
  <c r="AE43" i="37" s="1"/>
  <c r="AH43" i="37" s="1"/>
  <c r="AD18" i="34"/>
  <c r="F21" i="34"/>
  <c r="O21" i="34"/>
  <c r="P21" i="34" s="1"/>
  <c r="Q21" i="34" s="1"/>
  <c r="AK18" i="37"/>
  <c r="H18" i="37"/>
  <c r="I18" i="37" s="1"/>
  <c r="AA42" i="32"/>
  <c r="AA41" i="32"/>
  <c r="AC41" i="32" s="1"/>
  <c r="AE41" i="32" s="1"/>
  <c r="AH41" i="32" s="1"/>
  <c r="AA43" i="32"/>
  <c r="AC43" i="32" s="1"/>
  <c r="AE43" i="32" s="1"/>
  <c r="AH43" i="32" s="1"/>
  <c r="AM42" i="32"/>
  <c r="AC45" i="35"/>
  <c r="AE45" i="35" s="1"/>
  <c r="AH45" i="35" s="1"/>
  <c r="AB45" i="35"/>
  <c r="AD45" i="35" s="1"/>
  <c r="AB19" i="37"/>
  <c r="K19" i="37" s="1"/>
  <c r="AM41" i="32"/>
  <c r="AJ44" i="37"/>
  <c r="Z45" i="37"/>
  <c r="AK44" i="37"/>
  <c r="AL44" i="37"/>
  <c r="AM44" i="37"/>
  <c r="AA44" i="37"/>
  <c r="AG5" i="32"/>
  <c r="T13" i="32" s="1"/>
  <c r="AH17" i="32"/>
  <c r="AG18" i="32"/>
  <c r="AG17" i="32"/>
  <c r="AC17" i="32" s="1"/>
  <c r="AJ18" i="32"/>
  <c r="AE17" i="32"/>
  <c r="AB41" i="32"/>
  <c r="AD41" i="32" s="1"/>
  <c r="AC42" i="32"/>
  <c r="AE42" i="32" s="1"/>
  <c r="AH42" i="32" s="1"/>
  <c r="AB44" i="32"/>
  <c r="AD44" i="32" s="1"/>
  <c r="AF17" i="32"/>
  <c r="Y18" i="32"/>
  <c r="Z18" i="32" s="1"/>
  <c r="J18" i="32" s="1"/>
  <c r="AI17" i="32"/>
  <c r="AD17" i="32" s="1"/>
  <c r="AJ17" i="32"/>
  <c r="AE18" i="32"/>
  <c r="AG3" i="32"/>
  <c r="AG4" i="32" s="1"/>
  <c r="AF18" i="32"/>
  <c r="Y17" i="32"/>
  <c r="Z17" i="32" s="1"/>
  <c r="J17" i="32" s="1"/>
  <c r="AH18" i="32"/>
  <c r="AI18" i="32"/>
  <c r="AD18" i="32" s="1"/>
  <c r="N18" i="32" s="1"/>
  <c r="AG10" i="32"/>
  <c r="AG12" i="32" s="1"/>
  <c r="G11" i="32" s="1"/>
  <c r="AK2" i="32"/>
  <c r="AC44" i="32"/>
  <c r="AE44" i="32" s="1"/>
  <c r="AH44" i="32" s="1"/>
  <c r="AK1" i="32"/>
  <c r="AB42" i="32"/>
  <c r="AD42" i="32" s="1"/>
  <c r="AG11" i="32"/>
  <c r="AL46" i="35"/>
  <c r="Z47" i="35"/>
  <c r="AA46" i="35"/>
  <c r="AM46" i="35"/>
  <c r="AJ46" i="35"/>
  <c r="AK46" i="35"/>
  <c r="AJ18" i="38"/>
  <c r="AD18" i="38" s="1"/>
  <c r="AJ48" i="31"/>
  <c r="Z49" i="31"/>
  <c r="AA48" i="31"/>
  <c r="AL48" i="31"/>
  <c r="AM48" i="31"/>
  <c r="AK48" i="31"/>
  <c r="AM43" i="32"/>
  <c r="F19" i="36"/>
  <c r="AM45" i="36"/>
  <c r="AA45" i="36"/>
  <c r="AB45" i="36" s="1"/>
  <c r="AD45" i="36" s="1"/>
  <c r="Z46" i="36"/>
  <c r="AJ45" i="36"/>
  <c r="AK45" i="36"/>
  <c r="AL45" i="36"/>
  <c r="G5" i="39"/>
  <c r="AB9" i="39"/>
  <c r="AG11" i="36"/>
  <c r="AE17" i="36"/>
  <c r="AC41" i="36"/>
  <c r="AE41" i="36" s="1"/>
  <c r="AH41" i="36" s="1"/>
  <c r="AC44" i="36"/>
  <c r="AE44" i="36" s="1"/>
  <c r="AH44" i="36" s="1"/>
  <c r="AK2" i="36"/>
  <c r="AF17" i="36"/>
  <c r="AE18" i="36"/>
  <c r="AG3" i="36"/>
  <c r="AG4" i="36" s="1"/>
  <c r="Y17" i="36"/>
  <c r="Z17" i="36" s="1"/>
  <c r="J17" i="36" s="1"/>
  <c r="AF18" i="36"/>
  <c r="AB43" i="36"/>
  <c r="AD43" i="36" s="1"/>
  <c r="Y18" i="36"/>
  <c r="Z18" i="36" s="1"/>
  <c r="J18" i="36" s="1"/>
  <c r="AJ17" i="36"/>
  <c r="AC42" i="36"/>
  <c r="AE42" i="36" s="1"/>
  <c r="AH42" i="36" s="1"/>
  <c r="AC45" i="36"/>
  <c r="AE45" i="36" s="1"/>
  <c r="AH45" i="36" s="1"/>
  <c r="AG18" i="36"/>
  <c r="AK1" i="36"/>
  <c r="AG10" i="36"/>
  <c r="AG12" i="36" s="1"/>
  <c r="G11" i="36" s="1"/>
  <c r="AG17" i="36"/>
  <c r="AC17" i="36" s="1"/>
  <c r="AB41" i="36"/>
  <c r="AD41" i="36" s="1"/>
  <c r="AH17" i="36"/>
  <c r="AH18" i="36"/>
  <c r="AJ18" i="36"/>
  <c r="AI17" i="36"/>
  <c r="AG5" i="36"/>
  <c r="T13" i="36" s="1"/>
  <c r="AI18" i="36"/>
  <c r="AC44" i="35"/>
  <c r="AE44" i="35" s="1"/>
  <c r="AH44" i="35" s="1"/>
  <c r="AB44" i="35"/>
  <c r="AD44" i="35" s="1"/>
  <c r="Y18" i="38"/>
  <c r="Z18" i="38" s="1"/>
  <c r="J18" i="38" s="1"/>
  <c r="AB18" i="33"/>
  <c r="AC41" i="31"/>
  <c r="AE41" i="31" s="1"/>
  <c r="AH41" i="31" s="1"/>
  <c r="AB41" i="35"/>
  <c r="AD41" i="35" s="1"/>
  <c r="AC41" i="35"/>
  <c r="AE41" i="35" s="1"/>
  <c r="AH41" i="35" s="1"/>
  <c r="AH18" i="38"/>
  <c r="AE18" i="38"/>
  <c r="AB18" i="38" s="1"/>
  <c r="K18" i="38" s="1"/>
  <c r="F20" i="27"/>
  <c r="AL42" i="32"/>
  <c r="AR22" i="34"/>
  <c r="AP22" i="34"/>
  <c r="AQ22" i="34"/>
  <c r="A23" i="34"/>
  <c r="D22" i="34"/>
  <c r="B22" i="34"/>
  <c r="C22" i="34" s="1"/>
  <c r="E22" i="34"/>
  <c r="AO22" i="34"/>
  <c r="G22" i="34"/>
  <c r="Y18" i="33"/>
  <c r="Z18" i="33" s="1"/>
  <c r="J18" i="33" s="1"/>
  <c r="L18" i="33" s="1"/>
  <c r="AH18" i="33"/>
  <c r="AG18" i="33"/>
  <c r="AC46" i="31"/>
  <c r="AE46" i="31" s="1"/>
  <c r="AH46" i="31" s="1"/>
  <c r="AK18" i="27"/>
  <c r="H18" i="27"/>
  <c r="I18" i="27" s="1"/>
  <c r="AG18" i="27" s="1"/>
  <c r="F20" i="38"/>
  <c r="O20" i="38"/>
  <c r="P20" i="38" s="1"/>
  <c r="Q20" i="38" s="1"/>
  <c r="AC44" i="38"/>
  <c r="AE44" i="38" s="1"/>
  <c r="AH44" i="38" s="1"/>
  <c r="AG18" i="38"/>
  <c r="E21" i="38"/>
  <c r="AO21" i="38"/>
  <c r="AP21" i="38"/>
  <c r="AR21" i="38"/>
  <c r="A22" i="38"/>
  <c r="B21" i="38"/>
  <c r="C21" i="38" s="1"/>
  <c r="D21" i="38"/>
  <c r="AQ21" i="38"/>
  <c r="G21" i="38"/>
  <c r="AA17" i="33"/>
  <c r="L17" i="33"/>
  <c r="AL43" i="32"/>
  <c r="D20" i="36"/>
  <c r="AP20" i="36"/>
  <c r="AQ20" i="36"/>
  <c r="AR20" i="36"/>
  <c r="AO20" i="36"/>
  <c r="B20" i="36"/>
  <c r="C20" i="36" s="1"/>
  <c r="A21" i="36"/>
  <c r="E20" i="36"/>
  <c r="G20" i="36"/>
  <c r="H7" i="36"/>
  <c r="AM41" i="36"/>
  <c r="AL41" i="36"/>
  <c r="AM42" i="36"/>
  <c r="AL43" i="36"/>
  <c r="AM43" i="36"/>
  <c r="AL42" i="36"/>
  <c r="AL46" i="27"/>
  <c r="Z47" i="27"/>
  <c r="AJ46" i="27"/>
  <c r="AK46" i="27"/>
  <c r="AA46" i="27"/>
  <c r="AM46" i="27"/>
  <c r="D21" i="27"/>
  <c r="AP21" i="27"/>
  <c r="B21" i="27"/>
  <c r="C21" i="27" s="1"/>
  <c r="E21" i="27"/>
  <c r="G21" i="27"/>
  <c r="AO21" i="27"/>
  <c r="AQ21" i="27"/>
  <c r="AR21" i="27"/>
  <c r="A22" i="27"/>
  <c r="R19" i="38"/>
  <c r="AH19" i="38"/>
  <c r="AB44" i="33"/>
  <c r="AD44" i="33" s="1"/>
  <c r="AC44" i="33"/>
  <c r="AE44" i="33" s="1"/>
  <c r="AH44" i="33" s="1"/>
  <c r="AR21" i="37"/>
  <c r="A22" i="37"/>
  <c r="D21" i="37"/>
  <c r="AQ21" i="37"/>
  <c r="E21" i="37"/>
  <c r="AO21" i="37"/>
  <c r="AP21" i="37"/>
  <c r="B21" i="37"/>
  <c r="C21" i="37" s="1"/>
  <c r="G21" i="37"/>
  <c r="AK46" i="39"/>
  <c r="AJ46" i="39"/>
  <c r="Z47" i="39"/>
  <c r="AL46" i="39"/>
  <c r="AM46" i="39"/>
  <c r="AA46" i="39"/>
  <c r="AC43" i="35"/>
  <c r="AE43" i="35" s="1"/>
  <c r="AH43" i="35" s="1"/>
  <c r="AB43" i="35"/>
  <c r="AD43" i="35" s="1"/>
  <c r="F19" i="35"/>
  <c r="O19" i="35"/>
  <c r="P19" i="35" s="1"/>
  <c r="Q19" i="35" s="1"/>
  <c r="AG3" i="39"/>
  <c r="AG4" i="39" s="1"/>
  <c r="Y18" i="39"/>
  <c r="Z18" i="39" s="1"/>
  <c r="J18" i="39" s="1"/>
  <c r="AI18" i="39"/>
  <c r="AF19" i="39"/>
  <c r="AI17" i="39"/>
  <c r="AD17" i="39" s="1"/>
  <c r="AJ18" i="39"/>
  <c r="AG19" i="39"/>
  <c r="AC19" i="39" s="1"/>
  <c r="AB42" i="39"/>
  <c r="AD42" i="39" s="1"/>
  <c r="AG11" i="39"/>
  <c r="Y19" i="39"/>
  <c r="Z19" i="39" s="1"/>
  <c r="J19" i="39" s="1"/>
  <c r="AC43" i="39"/>
  <c r="AE43" i="39" s="1"/>
  <c r="AH43" i="39" s="1"/>
  <c r="AC46" i="39"/>
  <c r="AE46" i="39" s="1"/>
  <c r="AH46" i="39" s="1"/>
  <c r="AG5" i="39"/>
  <c r="T13" i="39" s="1"/>
  <c r="AJ19" i="39"/>
  <c r="AH19" i="39"/>
  <c r="AE18" i="39"/>
  <c r="AI19" i="39"/>
  <c r="AG10" i="39"/>
  <c r="AG12" i="39" s="1"/>
  <c r="G11" i="39" s="1"/>
  <c r="AF18" i="39"/>
  <c r="AH18" i="39"/>
  <c r="AE19" i="39"/>
  <c r="AC44" i="39"/>
  <c r="AE44" i="39" s="1"/>
  <c r="AH44" i="39" s="1"/>
  <c r="AC45" i="39"/>
  <c r="AE45" i="39" s="1"/>
  <c r="AH45" i="39" s="1"/>
  <c r="AB41" i="39"/>
  <c r="AD41" i="39" s="1"/>
  <c r="AG18" i="39"/>
  <c r="AG17" i="39"/>
  <c r="AJ17" i="39"/>
  <c r="F20" i="39"/>
  <c r="AC18" i="31"/>
  <c r="F19" i="32"/>
  <c r="AC42" i="35"/>
  <c r="AE42" i="35" s="1"/>
  <c r="AH42" i="35" s="1"/>
  <c r="AB42" i="35"/>
  <c r="AD42" i="35" s="1"/>
  <c r="AA45" i="33"/>
  <c r="AM45" i="33"/>
  <c r="AJ45" i="33"/>
  <c r="Z46" i="33"/>
  <c r="AK45" i="33"/>
  <c r="AL45" i="33"/>
  <c r="AA42" i="39"/>
  <c r="AC42" i="39" s="1"/>
  <c r="AE42" i="39" s="1"/>
  <c r="AH42" i="39" s="1"/>
  <c r="AA43" i="39"/>
  <c r="AA44" i="39"/>
  <c r="AA41" i="39"/>
  <c r="U19" i="38" l="1"/>
  <c r="AG45" i="36"/>
  <c r="AF45" i="36"/>
  <c r="AI45" i="36" s="1"/>
  <c r="AC18" i="27"/>
  <c r="M18" i="27" s="1"/>
  <c r="AA18" i="38"/>
  <c r="N18" i="38"/>
  <c r="L18" i="38"/>
  <c r="AG42" i="36"/>
  <c r="AF42" i="36"/>
  <c r="AI42" i="36" s="1"/>
  <c r="AF41" i="36"/>
  <c r="AI41" i="36" s="1"/>
  <c r="AG41" i="36"/>
  <c r="AJ46" i="38"/>
  <c r="AK46" i="38"/>
  <c r="AL46" i="38"/>
  <c r="Z47" i="38"/>
  <c r="AA46" i="38"/>
  <c r="AM46" i="38"/>
  <c r="F20" i="36"/>
  <c r="O20" i="36"/>
  <c r="P20" i="36" s="1"/>
  <c r="Q20" i="36" s="1"/>
  <c r="AB18" i="36"/>
  <c r="K18" i="36" s="1"/>
  <c r="AL49" i="31"/>
  <c r="AM49" i="31"/>
  <c r="AA49" i="31"/>
  <c r="AK49" i="31"/>
  <c r="Z50" i="31"/>
  <c r="AJ49" i="31"/>
  <c r="AG41" i="32"/>
  <c r="AF41" i="32"/>
  <c r="AI41" i="32" s="1"/>
  <c r="AF45" i="35"/>
  <c r="AI45" i="35" s="1"/>
  <c r="AG45" i="35"/>
  <c r="H21" i="34"/>
  <c r="I21" i="34" s="1"/>
  <c r="AK21" i="34"/>
  <c r="D22" i="31"/>
  <c r="E22" i="31"/>
  <c r="AO22" i="31"/>
  <c r="B22" i="31"/>
  <c r="C22" i="31" s="1"/>
  <c r="AP22" i="31"/>
  <c r="G22" i="31"/>
  <c r="AQ22" i="31"/>
  <c r="AR22" i="31"/>
  <c r="A23" i="31"/>
  <c r="H20" i="31"/>
  <c r="I20" i="31" s="1"/>
  <c r="AK20" i="31"/>
  <c r="O20" i="35"/>
  <c r="P20" i="35" s="1"/>
  <c r="Q20" i="35" s="1"/>
  <c r="F20" i="35"/>
  <c r="F20" i="32"/>
  <c r="O20" i="32"/>
  <c r="P20" i="32" s="1"/>
  <c r="Q20" i="32" s="1"/>
  <c r="AB44" i="27"/>
  <c r="AD44" i="27" s="1"/>
  <c r="AB46" i="27"/>
  <c r="AD46" i="27" s="1"/>
  <c r="AJ46" i="32"/>
  <c r="Z47" i="32"/>
  <c r="AK46" i="32"/>
  <c r="AL46" i="32"/>
  <c r="AA46" i="32"/>
  <c r="AM46" i="32"/>
  <c r="AF42" i="39"/>
  <c r="AI42" i="39" s="1"/>
  <c r="AG42" i="39"/>
  <c r="AC48" i="31"/>
  <c r="AE48" i="31" s="1"/>
  <c r="AH48" i="31" s="1"/>
  <c r="AB48" i="31"/>
  <c r="AD48" i="31" s="1"/>
  <c r="AF45" i="27"/>
  <c r="AI45" i="27" s="1"/>
  <c r="AG45" i="27"/>
  <c r="AF19" i="34"/>
  <c r="Y19" i="34"/>
  <c r="Z19" i="34" s="1"/>
  <c r="J19" i="34" s="1"/>
  <c r="AG19" i="34"/>
  <c r="AJ19" i="34"/>
  <c r="AE19" i="34"/>
  <c r="AB19" i="34" s="1"/>
  <c r="K19" i="34" s="1"/>
  <c r="AI19" i="34"/>
  <c r="AD19" i="34" s="1"/>
  <c r="AH19" i="34"/>
  <c r="V17" i="35"/>
  <c r="W17" i="35"/>
  <c r="Y18" i="35"/>
  <c r="Z18" i="35" s="1"/>
  <c r="J18" i="35" s="1"/>
  <c r="AF18" i="35"/>
  <c r="AE18" i="35"/>
  <c r="AB18" i="35" s="1"/>
  <c r="K18" i="35" s="1"/>
  <c r="AI18" i="35"/>
  <c r="AJ18" i="35"/>
  <c r="AG18" i="35"/>
  <c r="AH18" i="35"/>
  <c r="AH20" i="34"/>
  <c r="AJ20" i="34"/>
  <c r="Y20" i="34"/>
  <c r="Z20" i="34" s="1"/>
  <c r="J20" i="34" s="1"/>
  <c r="AI20" i="34"/>
  <c r="AD20" i="34" s="1"/>
  <c r="AE20" i="34"/>
  <c r="AG20" i="34"/>
  <c r="AC20" i="34" s="1"/>
  <c r="AF20" i="34"/>
  <c r="AC44" i="37"/>
  <c r="AE44" i="37" s="1"/>
  <c r="AH44" i="37" s="1"/>
  <c r="AB44" i="37"/>
  <c r="AD44" i="37" s="1"/>
  <c r="AB44" i="36"/>
  <c r="AD44" i="36" s="1"/>
  <c r="AD17" i="27"/>
  <c r="F21" i="39"/>
  <c r="O21" i="39"/>
  <c r="P21" i="39" s="1"/>
  <c r="Q21" i="39" s="1"/>
  <c r="AF41" i="31"/>
  <c r="AI41" i="31" s="1"/>
  <c r="AG41" i="31"/>
  <c r="AK3" i="32"/>
  <c r="AK4" i="32" s="1"/>
  <c r="AC44" i="34"/>
  <c r="AE44" i="34" s="1"/>
  <c r="AH44" i="34" s="1"/>
  <c r="AB44" i="34"/>
  <c r="AD44" i="34" s="1"/>
  <c r="D21" i="32"/>
  <c r="A22" i="32"/>
  <c r="E21" i="32"/>
  <c r="B21" i="32"/>
  <c r="C21" i="32" s="1"/>
  <c r="AO21" i="32"/>
  <c r="AP21" i="32"/>
  <c r="AQ21" i="32"/>
  <c r="AR21" i="32"/>
  <c r="G21" i="32"/>
  <c r="AC19" i="27"/>
  <c r="M19" i="27" s="1"/>
  <c r="AC46" i="27"/>
  <c r="AE46" i="27" s="1"/>
  <c r="AH46" i="27" s="1"/>
  <c r="L18" i="27"/>
  <c r="AA18" i="27"/>
  <c r="N18" i="27"/>
  <c r="AB43" i="27"/>
  <c r="AD43" i="27" s="1"/>
  <c r="AP22" i="39"/>
  <c r="D22" i="39"/>
  <c r="AR22" i="39"/>
  <c r="E22" i="39"/>
  <c r="A23" i="39"/>
  <c r="B22" i="39"/>
  <c r="C22" i="39" s="1"/>
  <c r="AO22" i="39"/>
  <c r="AQ22" i="39"/>
  <c r="G22" i="39"/>
  <c r="D21" i="33"/>
  <c r="E21" i="33"/>
  <c r="AO21" i="33"/>
  <c r="B21" i="33"/>
  <c r="C21" i="33" s="1"/>
  <c r="G21" i="33"/>
  <c r="AP21" i="33"/>
  <c r="AQ21" i="33"/>
  <c r="AR21" i="33"/>
  <c r="A22" i="33"/>
  <c r="AJ17" i="37"/>
  <c r="AH17" i="37"/>
  <c r="AE17" i="37"/>
  <c r="AB17" i="37" s="1"/>
  <c r="AI17" i="37"/>
  <c r="AD17" i="37" s="1"/>
  <c r="Y17" i="37"/>
  <c r="Z17" i="37" s="1"/>
  <c r="J17" i="37" s="1"/>
  <c r="AG17" i="37"/>
  <c r="AF17" i="37"/>
  <c r="AG41" i="39"/>
  <c r="L17" i="39"/>
  <c r="AA17" i="39"/>
  <c r="AC18" i="38"/>
  <c r="M18" i="38" s="1"/>
  <c r="AB43" i="39"/>
  <c r="AD43" i="39" s="1"/>
  <c r="AF44" i="31"/>
  <c r="AI44" i="31" s="1"/>
  <c r="AG44" i="31"/>
  <c r="AK47" i="39"/>
  <c r="Z48" i="39"/>
  <c r="AM47" i="39"/>
  <c r="AJ47" i="39"/>
  <c r="AA47" i="39"/>
  <c r="AL47" i="39"/>
  <c r="AG42" i="32"/>
  <c r="AF42" i="32"/>
  <c r="AI42" i="32" s="1"/>
  <c r="AB43" i="32"/>
  <c r="AD43" i="32" s="1"/>
  <c r="AB43" i="37"/>
  <c r="AD43" i="37" s="1"/>
  <c r="AK2" i="37"/>
  <c r="AK1" i="37"/>
  <c r="AK3" i="37" s="1"/>
  <c r="AK4" i="37" s="1"/>
  <c r="AG10" i="37"/>
  <c r="AC41" i="37"/>
  <c r="AE41" i="37" s="1"/>
  <c r="AH41" i="37" s="1"/>
  <c r="AB42" i="37"/>
  <c r="AD42" i="37" s="1"/>
  <c r="AG11" i="37"/>
  <c r="AF43" i="36"/>
  <c r="AI43" i="36" s="1"/>
  <c r="AG43" i="36"/>
  <c r="AA18" i="34"/>
  <c r="L18" i="34"/>
  <c r="N18" i="34"/>
  <c r="F21" i="37"/>
  <c r="O21" i="37"/>
  <c r="P21" i="37" s="1"/>
  <c r="Q21" i="37" s="1"/>
  <c r="M18" i="31"/>
  <c r="E22" i="37"/>
  <c r="AR22" i="37"/>
  <c r="A23" i="37"/>
  <c r="B22" i="37"/>
  <c r="C22" i="37" s="1"/>
  <c r="AP22" i="37"/>
  <c r="D22" i="37"/>
  <c r="AQ22" i="37"/>
  <c r="AO22" i="37"/>
  <c r="G22" i="37"/>
  <c r="S17" i="36"/>
  <c r="M17" i="36"/>
  <c r="AM46" i="36"/>
  <c r="AA46" i="36"/>
  <c r="Z47" i="36"/>
  <c r="AJ46" i="36"/>
  <c r="AK46" i="36"/>
  <c r="AL46" i="36"/>
  <c r="AC44" i="27"/>
  <c r="AE44" i="27" s="1"/>
  <c r="AH44" i="27" s="1"/>
  <c r="F22" i="34"/>
  <c r="O22" i="34"/>
  <c r="P22" i="34" s="1"/>
  <c r="Q22" i="34" s="1"/>
  <c r="AB42" i="27"/>
  <c r="AD42" i="27" s="1"/>
  <c r="AD18" i="39"/>
  <c r="AK20" i="38"/>
  <c r="H20" i="38"/>
  <c r="I20" i="38" s="1"/>
  <c r="AB45" i="32"/>
  <c r="AD45" i="32" s="1"/>
  <c r="AA46" i="33"/>
  <c r="AM46" i="33"/>
  <c r="AJ46" i="33"/>
  <c r="AK46" i="33"/>
  <c r="AL46" i="33"/>
  <c r="Z47" i="33"/>
  <c r="F21" i="38"/>
  <c r="O21" i="38"/>
  <c r="P21" i="38" s="1"/>
  <c r="Q21" i="38" s="1"/>
  <c r="L19" i="37"/>
  <c r="AA19" i="37"/>
  <c r="N19" i="37"/>
  <c r="F21" i="31"/>
  <c r="O21" i="31"/>
  <c r="P21" i="31" s="1"/>
  <c r="Q21" i="31" s="1"/>
  <c r="AF44" i="38"/>
  <c r="AI44" i="38" s="1"/>
  <c r="AG44" i="38"/>
  <c r="AG41" i="38"/>
  <c r="AF41" i="38"/>
  <c r="AI41" i="38" s="1"/>
  <c r="AC42" i="27"/>
  <c r="AE42" i="27" s="1"/>
  <c r="AH42" i="27" s="1"/>
  <c r="AH18" i="27"/>
  <c r="AB41" i="27"/>
  <c r="AD41" i="27" s="1"/>
  <c r="AG12" i="27"/>
  <c r="G11" i="27" s="1"/>
  <c r="M19" i="39"/>
  <c r="H20" i="27"/>
  <c r="I20" i="27" s="1"/>
  <c r="AK20" i="27"/>
  <c r="M17" i="33"/>
  <c r="S17" i="33"/>
  <c r="AD19" i="39"/>
  <c r="L18" i="32"/>
  <c r="AA18" i="32"/>
  <c r="AM45" i="37"/>
  <c r="AA45" i="37"/>
  <c r="Z46" i="37"/>
  <c r="AJ45" i="37"/>
  <c r="AK45" i="37"/>
  <c r="AL45" i="37"/>
  <c r="S17" i="32"/>
  <c r="AL47" i="27"/>
  <c r="AJ47" i="27"/>
  <c r="Z48" i="27"/>
  <c r="AK47" i="27"/>
  <c r="AA47" i="27"/>
  <c r="AM47" i="27"/>
  <c r="AB45" i="39"/>
  <c r="AD45" i="39" s="1"/>
  <c r="AF44" i="33"/>
  <c r="AI44" i="33" s="1"/>
  <c r="AG44" i="33"/>
  <c r="AD17" i="36"/>
  <c r="AC18" i="36"/>
  <c r="M18" i="36" s="1"/>
  <c r="R18" i="33"/>
  <c r="S18" i="33" s="1"/>
  <c r="L17" i="32"/>
  <c r="T17" i="32" s="1"/>
  <c r="AA17" i="32"/>
  <c r="AC18" i="32"/>
  <c r="V17" i="38"/>
  <c r="W17" i="38"/>
  <c r="AK1" i="31"/>
  <c r="AK3" i="31" s="1"/>
  <c r="AK4" i="31" s="1"/>
  <c r="AG10" i="31"/>
  <c r="AB42" i="31"/>
  <c r="AD42" i="31" s="1"/>
  <c r="AC45" i="31"/>
  <c r="AE45" i="31" s="1"/>
  <c r="AH45" i="31" s="1"/>
  <c r="AB47" i="31"/>
  <c r="AD47" i="31" s="1"/>
  <c r="AG11" i="31"/>
  <c r="AB43" i="31"/>
  <c r="AD43" i="31" s="1"/>
  <c r="AB45" i="31"/>
  <c r="AD45" i="31" s="1"/>
  <c r="AC42" i="31"/>
  <c r="AE42" i="31" s="1"/>
  <c r="AH42" i="31" s="1"/>
  <c r="AB46" i="31"/>
  <c r="AD46" i="31" s="1"/>
  <c r="AK2" i="31"/>
  <c r="AC43" i="31"/>
  <c r="AE43" i="31" s="1"/>
  <c r="AH43" i="31" s="1"/>
  <c r="AC47" i="31"/>
  <c r="AE47" i="31" s="1"/>
  <c r="AH47" i="31" s="1"/>
  <c r="H20" i="37"/>
  <c r="I20" i="37" s="1"/>
  <c r="AK20" i="37"/>
  <c r="AE18" i="27"/>
  <c r="AB18" i="27" s="1"/>
  <c r="K18" i="27" s="1"/>
  <c r="AC17" i="27"/>
  <c r="AF43" i="38"/>
  <c r="AI43" i="38" s="1"/>
  <c r="S19" i="38"/>
  <c r="T19" i="38" s="1"/>
  <c r="F21" i="27"/>
  <c r="O21" i="27"/>
  <c r="P21" i="27" s="1"/>
  <c r="Q21" i="27" s="1"/>
  <c r="H19" i="33"/>
  <c r="I19" i="33" s="1"/>
  <c r="AK19" i="33"/>
  <c r="AK20" i="39"/>
  <c r="H20" i="39"/>
  <c r="I20" i="39" s="1"/>
  <c r="G22" i="27"/>
  <c r="AQ22" i="27"/>
  <c r="E22" i="27"/>
  <c r="AR22" i="27"/>
  <c r="A23" i="27"/>
  <c r="D22" i="27"/>
  <c r="AO22" i="27"/>
  <c r="AP22" i="27"/>
  <c r="B22" i="27"/>
  <c r="C22" i="27" s="1"/>
  <c r="D21" i="35"/>
  <c r="B21" i="35"/>
  <c r="C21" i="35" s="1"/>
  <c r="AP21" i="35"/>
  <c r="AQ21" i="35"/>
  <c r="E21" i="35"/>
  <c r="AR21" i="35"/>
  <c r="G21" i="35"/>
  <c r="AO21" i="35"/>
  <c r="A22" i="35"/>
  <c r="AP23" i="34"/>
  <c r="D23" i="34"/>
  <c r="AQ23" i="34"/>
  <c r="B23" i="34"/>
  <c r="C23" i="34" s="1"/>
  <c r="E23" i="34"/>
  <c r="AO23" i="34"/>
  <c r="AR23" i="34"/>
  <c r="A24" i="34"/>
  <c r="G23" i="34"/>
  <c r="AG41" i="37"/>
  <c r="AB9" i="32"/>
  <c r="G5" i="32"/>
  <c r="H19" i="36"/>
  <c r="I19" i="36" s="1"/>
  <c r="AK19" i="36"/>
  <c r="AF17" i="39"/>
  <c r="AC41" i="39"/>
  <c r="AE41" i="39" s="1"/>
  <c r="AH41" i="39" s="1"/>
  <c r="R18" i="27"/>
  <c r="AK3" i="36"/>
  <c r="AK4" i="36" s="1"/>
  <c r="AC46" i="35"/>
  <c r="AE46" i="35" s="1"/>
  <c r="AH46" i="35" s="1"/>
  <c r="AB46" i="35"/>
  <c r="AD46" i="35" s="1"/>
  <c r="AE17" i="39"/>
  <c r="AB44" i="39"/>
  <c r="AD44" i="39" s="1"/>
  <c r="AK1" i="39"/>
  <c r="AK3" i="39" s="1"/>
  <c r="AK4" i="39" s="1"/>
  <c r="H19" i="35"/>
  <c r="I19" i="35" s="1"/>
  <c r="AK19" i="35"/>
  <c r="A23" i="38"/>
  <c r="AP22" i="38"/>
  <c r="AQ22" i="38"/>
  <c r="B22" i="38"/>
  <c r="C22" i="38" s="1"/>
  <c r="AR22" i="38"/>
  <c r="D22" i="38"/>
  <c r="E22" i="38"/>
  <c r="AO22" i="38"/>
  <c r="G22" i="38"/>
  <c r="AL47" i="35"/>
  <c r="AA47" i="35"/>
  <c r="AM47" i="35"/>
  <c r="AJ47" i="35"/>
  <c r="AK47" i="35"/>
  <c r="Z48" i="35"/>
  <c r="AB45" i="33"/>
  <c r="AD45" i="33" s="1"/>
  <c r="AC45" i="33"/>
  <c r="AE45" i="33" s="1"/>
  <c r="AH45" i="33" s="1"/>
  <c r="AC18" i="39"/>
  <c r="M18" i="39" s="1"/>
  <c r="AC18" i="33"/>
  <c r="M18" i="33" s="1"/>
  <c r="AB18" i="32"/>
  <c r="K18" i="32" s="1"/>
  <c r="AF44" i="32"/>
  <c r="AI44" i="32" s="1"/>
  <c r="AG44" i="32"/>
  <c r="AI18" i="37"/>
  <c r="AD18" i="37" s="1"/>
  <c r="AG18" i="37"/>
  <c r="Y18" i="37"/>
  <c r="Z18" i="37" s="1"/>
  <c r="J18" i="37" s="1"/>
  <c r="AF18" i="37"/>
  <c r="AH18" i="37"/>
  <c r="AE18" i="37"/>
  <c r="AJ18" i="37"/>
  <c r="Y17" i="31"/>
  <c r="Z17" i="31" s="1"/>
  <c r="J17" i="31" s="1"/>
  <c r="AH17" i="31"/>
  <c r="AG17" i="31"/>
  <c r="AC17" i="31" s="1"/>
  <c r="AI17" i="31"/>
  <c r="AF17" i="31"/>
  <c r="AE17" i="31"/>
  <c r="AB17" i="31" s="1"/>
  <c r="K17" i="31" s="1"/>
  <c r="AJ17" i="31"/>
  <c r="Y19" i="31"/>
  <c r="Z19" i="31" s="1"/>
  <c r="J19" i="31" s="1"/>
  <c r="AJ19" i="31"/>
  <c r="AH19" i="31"/>
  <c r="AF19" i="31"/>
  <c r="AG19" i="31"/>
  <c r="AE19" i="31"/>
  <c r="AB19" i="31" s="1"/>
  <c r="AI19" i="31"/>
  <c r="AD19" i="27"/>
  <c r="AC42" i="34"/>
  <c r="AE42" i="34" s="1"/>
  <c r="AH42" i="34" s="1"/>
  <c r="AG11" i="34"/>
  <c r="AB41" i="34"/>
  <c r="AD41" i="34" s="1"/>
  <c r="AK1" i="34"/>
  <c r="AC41" i="34"/>
  <c r="AE41" i="34" s="1"/>
  <c r="AH41" i="34" s="1"/>
  <c r="AK2" i="34"/>
  <c r="AB42" i="34"/>
  <c r="AD42" i="34" s="1"/>
  <c r="AG10" i="34"/>
  <c r="AG42" i="35"/>
  <c r="AF42" i="35"/>
  <c r="AI42" i="35" s="1"/>
  <c r="F20" i="33"/>
  <c r="O20" i="33"/>
  <c r="P20" i="33" s="1"/>
  <c r="Q20" i="33" s="1"/>
  <c r="AK19" i="32"/>
  <c r="H19" i="32"/>
  <c r="I19" i="32" s="1"/>
  <c r="T17" i="33"/>
  <c r="AB18" i="39"/>
  <c r="K18" i="39" s="1"/>
  <c r="AF41" i="35"/>
  <c r="AI41" i="35" s="1"/>
  <c r="AG41" i="35"/>
  <c r="R18" i="31"/>
  <c r="AB17" i="36"/>
  <c r="K17" i="36" s="1"/>
  <c r="U17" i="36" s="1"/>
  <c r="AH17" i="39"/>
  <c r="AC17" i="39" s="1"/>
  <c r="AQ21" i="36"/>
  <c r="AR21" i="36"/>
  <c r="AO21" i="36"/>
  <c r="AP21" i="36"/>
  <c r="A22" i="36"/>
  <c r="D21" i="36"/>
  <c r="B21" i="36"/>
  <c r="C21" i="36" s="1"/>
  <c r="E21" i="36"/>
  <c r="G21" i="36"/>
  <c r="AD18" i="36"/>
  <c r="AB19" i="39"/>
  <c r="K19" i="39" s="1"/>
  <c r="K18" i="33"/>
  <c r="AB46" i="39"/>
  <c r="AD46" i="39" s="1"/>
  <c r="AF43" i="35"/>
  <c r="AI43" i="35" s="1"/>
  <c r="AG43" i="35"/>
  <c r="AG44" i="35"/>
  <c r="AF44" i="35"/>
  <c r="AI44" i="35" s="1"/>
  <c r="AB17" i="32"/>
  <c r="K17" i="32" s="1"/>
  <c r="AJ45" i="34"/>
  <c r="AK45" i="34"/>
  <c r="Z46" i="34"/>
  <c r="AM45" i="34"/>
  <c r="AL45" i="34"/>
  <c r="AA45" i="34"/>
  <c r="AC45" i="38"/>
  <c r="AE45" i="38" s="1"/>
  <c r="AH45" i="38" s="1"/>
  <c r="AB45" i="38"/>
  <c r="AD45" i="38" s="1"/>
  <c r="AF43" i="34"/>
  <c r="AI43" i="34" s="1"/>
  <c r="AG43" i="34"/>
  <c r="AE17" i="34"/>
  <c r="AH17" i="34"/>
  <c r="AF17" i="34"/>
  <c r="AI17" i="34"/>
  <c r="AG17" i="34"/>
  <c r="AC17" i="34" s="1"/>
  <c r="Y17" i="34"/>
  <c r="Z17" i="34" s="1"/>
  <c r="J17" i="34" s="1"/>
  <c r="AJ17" i="34"/>
  <c r="M18" i="32" l="1"/>
  <c r="V19" i="38"/>
  <c r="W19" i="38"/>
  <c r="U18" i="33"/>
  <c r="V17" i="32"/>
  <c r="W17" i="32"/>
  <c r="T18" i="33"/>
  <c r="M17" i="39"/>
  <c r="S17" i="39"/>
  <c r="T17" i="39"/>
  <c r="AB47" i="35"/>
  <c r="AD47" i="35" s="1"/>
  <c r="AC47" i="35"/>
  <c r="AE47" i="35" s="1"/>
  <c r="AH47" i="35" s="1"/>
  <c r="AB46" i="36"/>
  <c r="AD46" i="36" s="1"/>
  <c r="AC46" i="36"/>
  <c r="AE46" i="36" s="1"/>
  <c r="AH46" i="36" s="1"/>
  <c r="AF45" i="39"/>
  <c r="AI45" i="39" s="1"/>
  <c r="AG45" i="39"/>
  <c r="AF46" i="27"/>
  <c r="AI46" i="27" s="1"/>
  <c r="AG46" i="27"/>
  <c r="L19" i="27"/>
  <c r="AA19" i="27"/>
  <c r="N19" i="27"/>
  <c r="AM46" i="37"/>
  <c r="Z47" i="37"/>
  <c r="AA46" i="37"/>
  <c r="AJ46" i="37"/>
  <c r="AK46" i="37"/>
  <c r="AL46" i="37"/>
  <c r="AA17" i="37"/>
  <c r="L17" i="37"/>
  <c r="AG42" i="37"/>
  <c r="AF42" i="37"/>
  <c r="AI42" i="37" s="1"/>
  <c r="AC47" i="39"/>
  <c r="AE47" i="39" s="1"/>
  <c r="AH47" i="39" s="1"/>
  <c r="AB47" i="39"/>
  <c r="AD47" i="39" s="1"/>
  <c r="F21" i="33"/>
  <c r="O21" i="33"/>
  <c r="P21" i="33" s="1"/>
  <c r="Q21" i="33" s="1"/>
  <c r="AF45" i="38"/>
  <c r="AI45" i="38" s="1"/>
  <c r="AG45" i="38"/>
  <c r="L18" i="37"/>
  <c r="AA18" i="37"/>
  <c r="N18" i="37"/>
  <c r="H21" i="38"/>
  <c r="I21" i="38" s="1"/>
  <c r="AK21" i="38"/>
  <c r="AK21" i="39"/>
  <c r="H21" i="39"/>
  <c r="I21" i="39" s="1"/>
  <c r="H20" i="35"/>
  <c r="I20" i="35" s="1"/>
  <c r="AK20" i="35"/>
  <c r="S17" i="34"/>
  <c r="AC46" i="32"/>
  <c r="AE46" i="32" s="1"/>
  <c r="AH46" i="32" s="1"/>
  <c r="AB46" i="32"/>
  <c r="AD46" i="32" s="1"/>
  <c r="AG12" i="34"/>
  <c r="G11" i="34" s="1"/>
  <c r="S19" i="37"/>
  <c r="T19" i="37" s="1"/>
  <c r="R19" i="37"/>
  <c r="V17" i="33"/>
  <c r="W17" i="33"/>
  <c r="D23" i="37"/>
  <c r="AO23" i="37"/>
  <c r="E23" i="37"/>
  <c r="AP23" i="37"/>
  <c r="AQ23" i="37"/>
  <c r="B23" i="37"/>
  <c r="C23" i="37" s="1"/>
  <c r="AR23" i="37"/>
  <c r="A24" i="37"/>
  <c r="G23" i="37"/>
  <c r="AG43" i="27"/>
  <c r="AF43" i="27"/>
  <c r="AI43" i="27" s="1"/>
  <c r="AF43" i="31"/>
  <c r="AI43" i="31" s="1"/>
  <c r="AG43" i="31"/>
  <c r="AG43" i="39"/>
  <c r="AF43" i="39"/>
  <c r="AI43" i="39" s="1"/>
  <c r="AC49" i="31"/>
  <c r="AE49" i="31" s="1"/>
  <c r="AH49" i="31" s="1"/>
  <c r="AB49" i="31"/>
  <c r="AD49" i="31" s="1"/>
  <c r="M17" i="27"/>
  <c r="S17" i="27"/>
  <c r="H20" i="32"/>
  <c r="I20" i="32" s="1"/>
  <c r="AK20" i="32"/>
  <c r="F23" i="34"/>
  <c r="O23" i="34"/>
  <c r="P23" i="34" s="1"/>
  <c r="Q23" i="34" s="1"/>
  <c r="AA17" i="27"/>
  <c r="L17" i="27"/>
  <c r="T17" i="27" s="1"/>
  <c r="AF44" i="36"/>
  <c r="AI44" i="36" s="1"/>
  <c r="AG44" i="36"/>
  <c r="AD17" i="34"/>
  <c r="AF45" i="33"/>
  <c r="AI45" i="33" s="1"/>
  <c r="AG45" i="33"/>
  <c r="AA17" i="36"/>
  <c r="L17" i="36"/>
  <c r="T17" i="36" s="1"/>
  <c r="AJ46" i="34"/>
  <c r="AK46" i="34"/>
  <c r="AL46" i="34"/>
  <c r="AM46" i="34"/>
  <c r="AA46" i="34"/>
  <c r="Z47" i="34"/>
  <c r="H21" i="27"/>
  <c r="I21" i="27" s="1"/>
  <c r="AK21" i="27"/>
  <c r="Y19" i="32"/>
  <c r="Z19" i="32" s="1"/>
  <c r="J19" i="32" s="1"/>
  <c r="AJ19" i="32"/>
  <c r="AF19" i="32"/>
  <c r="AI19" i="32"/>
  <c r="AD19" i="32" s="1"/>
  <c r="AG19" i="32"/>
  <c r="AH19" i="32"/>
  <c r="AE19" i="32"/>
  <c r="AB19" i="32" s="1"/>
  <c r="B23" i="38"/>
  <c r="C23" i="38" s="1"/>
  <c r="AP23" i="38"/>
  <c r="AQ23" i="38"/>
  <c r="AR23" i="38"/>
  <c r="D23" i="38"/>
  <c r="E23" i="38"/>
  <c r="A24" i="38"/>
  <c r="G23" i="38"/>
  <c r="AO23" i="38"/>
  <c r="AF45" i="32"/>
  <c r="AI45" i="32" s="1"/>
  <c r="AG45" i="32"/>
  <c r="AH19" i="35"/>
  <c r="AI19" i="35"/>
  <c r="AJ19" i="35"/>
  <c r="AF19" i="35"/>
  <c r="AE19" i="35"/>
  <c r="AB19" i="35" s="1"/>
  <c r="AG19" i="35"/>
  <c r="AC19" i="35" s="1"/>
  <c r="Y19" i="35"/>
  <c r="Z19" i="35" s="1"/>
  <c r="J19" i="35" s="1"/>
  <c r="S18" i="27"/>
  <c r="T18" i="27" s="1"/>
  <c r="B22" i="32"/>
  <c r="C22" i="32" s="1"/>
  <c r="E22" i="32"/>
  <c r="AR22" i="32"/>
  <c r="D22" i="32"/>
  <c r="AO22" i="32"/>
  <c r="AP22" i="32"/>
  <c r="A23" i="32"/>
  <c r="AQ22" i="32"/>
  <c r="G22" i="32"/>
  <c r="AL48" i="27"/>
  <c r="AA48" i="27"/>
  <c r="AJ48" i="27"/>
  <c r="AK48" i="27"/>
  <c r="Z49" i="27"/>
  <c r="AM48" i="27"/>
  <c r="AK21" i="31"/>
  <c r="H21" i="31"/>
  <c r="I21" i="31" s="1"/>
  <c r="H21" i="37"/>
  <c r="I21" i="37" s="1"/>
  <c r="AK21" i="37"/>
  <c r="AL48" i="39"/>
  <c r="AM48" i="39"/>
  <c r="AK48" i="39"/>
  <c r="AA48" i="39"/>
  <c r="AJ48" i="39"/>
  <c r="Z49" i="39"/>
  <c r="AA18" i="36"/>
  <c r="L18" i="36"/>
  <c r="N18" i="36"/>
  <c r="AB17" i="39"/>
  <c r="K17" i="39" s="1"/>
  <c r="AG42" i="31"/>
  <c r="AF42" i="31"/>
  <c r="AI42" i="31" s="1"/>
  <c r="AF42" i="27"/>
  <c r="AI42" i="27" s="1"/>
  <c r="AG42" i="27"/>
  <c r="AF44" i="34"/>
  <c r="AI44" i="34" s="1"/>
  <c r="AG44" i="34"/>
  <c r="AC19" i="34"/>
  <c r="M19" i="34" s="1"/>
  <c r="S17" i="31"/>
  <c r="M17" i="31"/>
  <c r="AF42" i="34"/>
  <c r="AI42" i="34" s="1"/>
  <c r="AG42" i="34"/>
  <c r="F22" i="38"/>
  <c r="O22" i="38"/>
  <c r="P22" i="38" s="1"/>
  <c r="Q22" i="38" s="1"/>
  <c r="M17" i="32"/>
  <c r="U17" i="32" s="1"/>
  <c r="AD18" i="35"/>
  <c r="AB45" i="34"/>
  <c r="AD45" i="34" s="1"/>
  <c r="AC45" i="34"/>
  <c r="AE45" i="34" s="1"/>
  <c r="AH45" i="34" s="1"/>
  <c r="U17" i="31"/>
  <c r="F22" i="27"/>
  <c r="O22" i="27"/>
  <c r="P22" i="27" s="1"/>
  <c r="Q22" i="27" s="1"/>
  <c r="F22" i="37"/>
  <c r="O22" i="37"/>
  <c r="P22" i="37" s="1"/>
  <c r="Q22" i="37" s="1"/>
  <c r="AF41" i="39"/>
  <c r="AI41" i="39" s="1"/>
  <c r="AA47" i="32"/>
  <c r="AJ47" i="32"/>
  <c r="AK47" i="32"/>
  <c r="AL47" i="32"/>
  <c r="AM47" i="32"/>
  <c r="Z48" i="32"/>
  <c r="AR23" i="31"/>
  <c r="A24" i="31"/>
  <c r="AO23" i="31"/>
  <c r="AP23" i="31"/>
  <c r="AQ23" i="31"/>
  <c r="B23" i="31"/>
  <c r="C23" i="31" s="1"/>
  <c r="D23" i="31"/>
  <c r="E23" i="31"/>
  <c r="G23" i="31"/>
  <c r="U17" i="33"/>
  <c r="AF45" i="31"/>
  <c r="AI45" i="31" s="1"/>
  <c r="AG45" i="31"/>
  <c r="Z48" i="36"/>
  <c r="AA47" i="36"/>
  <c r="AJ47" i="36"/>
  <c r="AM47" i="36"/>
  <c r="AK47" i="36"/>
  <c r="AL47" i="36"/>
  <c r="Z51" i="31"/>
  <c r="AJ50" i="31"/>
  <c r="AK50" i="31"/>
  <c r="AL50" i="31"/>
  <c r="AM50" i="31"/>
  <c r="AA50" i="31"/>
  <c r="AF46" i="39"/>
  <c r="AI46" i="39" s="1"/>
  <c r="AG46" i="39"/>
  <c r="AB47" i="27"/>
  <c r="AD47" i="27" s="1"/>
  <c r="AC47" i="27"/>
  <c r="AE47" i="27" s="1"/>
  <c r="AH47" i="27" s="1"/>
  <c r="M20" i="34"/>
  <c r="Y20" i="38"/>
  <c r="Z20" i="38" s="1"/>
  <c r="J20" i="38" s="1"/>
  <c r="AI20" i="38"/>
  <c r="AF20" i="38"/>
  <c r="AJ20" i="38"/>
  <c r="AE20" i="38"/>
  <c r="AB20" i="38" s="1"/>
  <c r="AH20" i="38"/>
  <c r="AG20" i="38"/>
  <c r="AC20" i="38" s="1"/>
  <c r="AB20" i="34"/>
  <c r="K20" i="34" s="1"/>
  <c r="Y19" i="36"/>
  <c r="Z19" i="36" s="1"/>
  <c r="J19" i="36" s="1"/>
  <c r="AI19" i="36"/>
  <c r="AJ19" i="36"/>
  <c r="AF19" i="36"/>
  <c r="AH19" i="36"/>
  <c r="AG19" i="36"/>
  <c r="AE19" i="36"/>
  <c r="AF47" i="31"/>
  <c r="AI47" i="31" s="1"/>
  <c r="AG47" i="31"/>
  <c r="AG12" i="37"/>
  <c r="G11" i="37" s="1"/>
  <c r="F21" i="32"/>
  <c r="O21" i="32"/>
  <c r="P21" i="32" s="1"/>
  <c r="Q21" i="32" s="1"/>
  <c r="F21" i="35"/>
  <c r="O21" i="35"/>
  <c r="P21" i="35" s="1"/>
  <c r="Q21" i="35" s="1"/>
  <c r="AC18" i="35"/>
  <c r="M18" i="35" s="1"/>
  <c r="AF46" i="35"/>
  <c r="AI46" i="35" s="1"/>
  <c r="AG46" i="35"/>
  <c r="AJ20" i="37"/>
  <c r="AG20" i="37"/>
  <c r="AH20" i="37"/>
  <c r="AI20" i="37"/>
  <c r="AD20" i="37" s="1"/>
  <c r="Y20" i="37"/>
  <c r="Z20" i="37" s="1"/>
  <c r="J20" i="37" s="1"/>
  <c r="AF20" i="37"/>
  <c r="AE20" i="37"/>
  <c r="AB20" i="37" s="1"/>
  <c r="K20" i="37" s="1"/>
  <c r="AG12" i="31"/>
  <c r="G11" i="31" s="1"/>
  <c r="AF43" i="37"/>
  <c r="AI43" i="37" s="1"/>
  <c r="AG43" i="37"/>
  <c r="AR22" i="33"/>
  <c r="A23" i="33"/>
  <c r="B22" i="33"/>
  <c r="C22" i="33" s="1"/>
  <c r="G22" i="33"/>
  <c r="AO22" i="33"/>
  <c r="AP22" i="33"/>
  <c r="AQ22" i="33"/>
  <c r="D22" i="33"/>
  <c r="E22" i="33"/>
  <c r="AF44" i="37"/>
  <c r="AI44" i="37" s="1"/>
  <c r="AG44" i="37"/>
  <c r="AE21" i="34"/>
  <c r="AI21" i="34"/>
  <c r="AG21" i="34"/>
  <c r="Y21" i="34"/>
  <c r="Z21" i="34" s="1"/>
  <c r="J21" i="34" s="1"/>
  <c r="AJ21" i="34"/>
  <c r="AF21" i="34"/>
  <c r="AH21" i="34"/>
  <c r="S18" i="31"/>
  <c r="AD19" i="31"/>
  <c r="AF41" i="27"/>
  <c r="AI41" i="27" s="1"/>
  <c r="AG41" i="27"/>
  <c r="H22" i="34"/>
  <c r="I22" i="34" s="1"/>
  <c r="AK22" i="34"/>
  <c r="AG20" i="31"/>
  <c r="AI20" i="31"/>
  <c r="AE20" i="31"/>
  <c r="Y20" i="31"/>
  <c r="Z20" i="31" s="1"/>
  <c r="J20" i="31" s="1"/>
  <c r="AH20" i="31"/>
  <c r="AJ20" i="31"/>
  <c r="AF20" i="31"/>
  <c r="AF41" i="37"/>
  <c r="AI41" i="37" s="1"/>
  <c r="AR22" i="35"/>
  <c r="AQ22" i="35"/>
  <c r="A23" i="35"/>
  <c r="E22" i="35"/>
  <c r="G22" i="35"/>
  <c r="B22" i="35"/>
  <c r="C22" i="35" s="1"/>
  <c r="AO22" i="35"/>
  <c r="D22" i="35"/>
  <c r="AP22" i="35"/>
  <c r="AB17" i="34"/>
  <c r="K17" i="34" s="1"/>
  <c r="M17" i="34" s="1"/>
  <c r="AG43" i="32"/>
  <c r="AF43" i="32"/>
  <c r="AI43" i="32" s="1"/>
  <c r="AB46" i="38"/>
  <c r="AD46" i="38" s="1"/>
  <c r="AC46" i="38"/>
  <c r="AE46" i="38" s="1"/>
  <c r="AH46" i="38" s="1"/>
  <c r="S18" i="38"/>
  <c r="U18" i="38" s="1"/>
  <c r="R18" i="38"/>
  <c r="AG41" i="34"/>
  <c r="AF41" i="34"/>
  <c r="AI41" i="34" s="1"/>
  <c r="AC45" i="37"/>
  <c r="AE45" i="37" s="1"/>
  <c r="AH45" i="37" s="1"/>
  <c r="AB45" i="37"/>
  <c r="AD45" i="37" s="1"/>
  <c r="K17" i="37"/>
  <c r="AF44" i="27"/>
  <c r="AI44" i="27" s="1"/>
  <c r="AG44" i="27"/>
  <c r="AC18" i="37"/>
  <c r="AG20" i="39"/>
  <c r="AH20" i="39"/>
  <c r="AE20" i="39"/>
  <c r="AF20" i="39"/>
  <c r="Y20" i="39"/>
  <c r="Z20" i="39" s="1"/>
  <c r="J20" i="39" s="1"/>
  <c r="AI20" i="39"/>
  <c r="AJ20" i="39"/>
  <c r="AJ20" i="27"/>
  <c r="AI20" i="27"/>
  <c r="AD20" i="27" s="1"/>
  <c r="AE20" i="27"/>
  <c r="AB20" i="27" s="1"/>
  <c r="K20" i="27" s="1"/>
  <c r="AF20" i="27"/>
  <c r="AG20" i="27"/>
  <c r="AH20" i="27"/>
  <c r="Y20" i="27"/>
  <c r="Z20" i="27" s="1"/>
  <c r="J20" i="27" s="1"/>
  <c r="AA19" i="34"/>
  <c r="L19" i="34"/>
  <c r="N19" i="34"/>
  <c r="AK20" i="33"/>
  <c r="H20" i="33"/>
  <c r="I20" i="33" s="1"/>
  <c r="L20" i="34"/>
  <c r="AA20" i="34"/>
  <c r="N20" i="34"/>
  <c r="AG44" i="39"/>
  <c r="AF44" i="39"/>
  <c r="AI44" i="39" s="1"/>
  <c r="AA18" i="39"/>
  <c r="L18" i="39"/>
  <c r="N18" i="39"/>
  <c r="F22" i="31"/>
  <c r="O22" i="31"/>
  <c r="P22" i="31" s="1"/>
  <c r="Q22" i="31" s="1"/>
  <c r="AD17" i="31"/>
  <c r="Y19" i="33"/>
  <c r="Z19" i="33" s="1"/>
  <c r="J19" i="33" s="1"/>
  <c r="AH19" i="33"/>
  <c r="AI19" i="33"/>
  <c r="AD19" i="33" s="1"/>
  <c r="AF19" i="33"/>
  <c r="AG19" i="33"/>
  <c r="AE19" i="33"/>
  <c r="AB19" i="33" s="1"/>
  <c r="AJ19" i="33"/>
  <c r="R18" i="32"/>
  <c r="AA47" i="33"/>
  <c r="AM47" i="33"/>
  <c r="AJ47" i="33"/>
  <c r="Z48" i="33"/>
  <c r="AK47" i="33"/>
  <c r="AL47" i="33"/>
  <c r="R18" i="34"/>
  <c r="S18" i="34" s="1"/>
  <c r="E23" i="39"/>
  <c r="AR23" i="39"/>
  <c r="A24" i="39"/>
  <c r="AO23" i="39"/>
  <c r="AP23" i="39"/>
  <c r="B23" i="39"/>
  <c r="C23" i="39" s="1"/>
  <c r="AQ23" i="39"/>
  <c r="D23" i="39"/>
  <c r="G23" i="39"/>
  <c r="H20" i="36"/>
  <c r="I20" i="36" s="1"/>
  <c r="AK20" i="36"/>
  <c r="K19" i="31"/>
  <c r="F21" i="36"/>
  <c r="O21" i="36"/>
  <c r="P21" i="36" s="1"/>
  <c r="Q21" i="36" s="1"/>
  <c r="AC19" i="31"/>
  <c r="M19" i="31" s="1"/>
  <c r="AA48" i="35"/>
  <c r="AM48" i="35"/>
  <c r="AJ48" i="35"/>
  <c r="AK48" i="35"/>
  <c r="AL48" i="35"/>
  <c r="Z49" i="35"/>
  <c r="A24" i="27"/>
  <c r="D23" i="27"/>
  <c r="E23" i="27"/>
  <c r="B23" i="27"/>
  <c r="C23" i="27" s="1"/>
  <c r="AR23" i="27"/>
  <c r="AQ23" i="27"/>
  <c r="AO23" i="27"/>
  <c r="AP23" i="27"/>
  <c r="G23" i="27"/>
  <c r="L19" i="39"/>
  <c r="AA19" i="39"/>
  <c r="N19" i="39"/>
  <c r="AO22" i="36"/>
  <c r="AP22" i="36"/>
  <c r="D22" i="36"/>
  <c r="AQ22" i="36"/>
  <c r="E22" i="36"/>
  <c r="AR22" i="36"/>
  <c r="A23" i="36"/>
  <c r="B22" i="36"/>
  <c r="C22" i="36" s="1"/>
  <c r="G22" i="36"/>
  <c r="AK3" i="34"/>
  <c r="AK4" i="34" s="1"/>
  <c r="AB18" i="37"/>
  <c r="K18" i="37" s="1"/>
  <c r="D24" i="34"/>
  <c r="B24" i="34"/>
  <c r="C24" i="34" s="1"/>
  <c r="E24" i="34"/>
  <c r="AO24" i="34"/>
  <c r="AP24" i="34"/>
  <c r="AQ24" i="34"/>
  <c r="AR24" i="34"/>
  <c r="A25" i="34"/>
  <c r="G24" i="34"/>
  <c r="AF46" i="31"/>
  <c r="AI46" i="31" s="1"/>
  <c r="AG46" i="31"/>
  <c r="AC46" i="33"/>
  <c r="AE46" i="33" s="1"/>
  <c r="AH46" i="33" s="1"/>
  <c r="AB46" i="33"/>
  <c r="AD46" i="33" s="1"/>
  <c r="AC17" i="37"/>
  <c r="F22" i="39"/>
  <c r="O22" i="39"/>
  <c r="P22" i="39" s="1"/>
  <c r="Q22" i="39" s="1"/>
  <c r="AF48" i="31"/>
  <c r="AI48" i="31" s="1"/>
  <c r="AG48" i="31"/>
  <c r="AK47" i="38"/>
  <c r="AL47" i="38"/>
  <c r="AM47" i="38"/>
  <c r="AA47" i="38"/>
  <c r="Z48" i="38"/>
  <c r="AJ47" i="38"/>
  <c r="K19" i="32" l="1"/>
  <c r="V18" i="27"/>
  <c r="W18" i="27"/>
  <c r="U18" i="34"/>
  <c r="T18" i="34"/>
  <c r="V19" i="37"/>
  <c r="W19" i="37"/>
  <c r="H21" i="33"/>
  <c r="I21" i="33" s="1"/>
  <c r="AK21" i="33"/>
  <c r="AG46" i="32"/>
  <c r="AF46" i="32"/>
  <c r="AI46" i="32" s="1"/>
  <c r="AJ20" i="36"/>
  <c r="AI20" i="36"/>
  <c r="AD20" i="36" s="1"/>
  <c r="AH20" i="36"/>
  <c r="Y20" i="36"/>
  <c r="Z20" i="36" s="1"/>
  <c r="J20" i="36" s="1"/>
  <c r="AG20" i="36"/>
  <c r="AC20" i="36" s="1"/>
  <c r="AF20" i="36"/>
  <c r="AE20" i="36"/>
  <c r="AB20" i="36" s="1"/>
  <c r="K20" i="36" s="1"/>
  <c r="R19" i="39"/>
  <c r="R20" i="34"/>
  <c r="AC46" i="34"/>
  <c r="AE46" i="34" s="1"/>
  <c r="AH46" i="34" s="1"/>
  <c r="AB46" i="34"/>
  <c r="AD46" i="34" s="1"/>
  <c r="AA20" i="27"/>
  <c r="L20" i="27"/>
  <c r="N20" i="27"/>
  <c r="AC48" i="39"/>
  <c r="AE48" i="39" s="1"/>
  <c r="AH48" i="39" s="1"/>
  <c r="AB48" i="39"/>
  <c r="AD48" i="39" s="1"/>
  <c r="Z49" i="33"/>
  <c r="AA48" i="33"/>
  <c r="AJ48" i="33"/>
  <c r="AK48" i="33"/>
  <c r="AL48" i="33"/>
  <c r="AM48" i="33"/>
  <c r="L19" i="31"/>
  <c r="AA19" i="31"/>
  <c r="N19" i="31"/>
  <c r="AJ21" i="39"/>
  <c r="AH21" i="39"/>
  <c r="AG21" i="39"/>
  <c r="AC21" i="39" s="1"/>
  <c r="AI21" i="39"/>
  <c r="AD21" i="39" s="1"/>
  <c r="AF21" i="39"/>
  <c r="Y21" i="39"/>
  <c r="Z21" i="39" s="1"/>
  <c r="J21" i="39" s="1"/>
  <c r="AE21" i="39"/>
  <c r="O22" i="35"/>
  <c r="P22" i="35" s="1"/>
  <c r="Q22" i="35" s="1"/>
  <c r="F22" i="35"/>
  <c r="AD19" i="36"/>
  <c r="AM51" i="31"/>
  <c r="AA51" i="31"/>
  <c r="Z52" i="31"/>
  <c r="AL51" i="31"/>
  <c r="AK51" i="31"/>
  <c r="AJ51" i="31"/>
  <c r="AC19" i="32"/>
  <c r="M19" i="32" s="1"/>
  <c r="AB47" i="33"/>
  <c r="AD47" i="33" s="1"/>
  <c r="AC47" i="33"/>
  <c r="AE47" i="33" s="1"/>
  <c r="AH47" i="33" s="1"/>
  <c r="K19" i="35"/>
  <c r="AJ47" i="37"/>
  <c r="AK47" i="37"/>
  <c r="Z48" i="37"/>
  <c r="AA47" i="37"/>
  <c r="AL47" i="37"/>
  <c r="AM47" i="37"/>
  <c r="L19" i="33"/>
  <c r="AA19" i="33"/>
  <c r="N19" i="33"/>
  <c r="AR24" i="37"/>
  <c r="E24" i="37"/>
  <c r="AO24" i="37"/>
  <c r="AP24" i="37"/>
  <c r="AQ24" i="37"/>
  <c r="A25" i="37"/>
  <c r="B24" i="37"/>
  <c r="C24" i="37" s="1"/>
  <c r="D24" i="37"/>
  <c r="G24" i="37"/>
  <c r="U17" i="34"/>
  <c r="F23" i="39"/>
  <c r="O23" i="39"/>
  <c r="P23" i="39" s="1"/>
  <c r="Q23" i="39" s="1"/>
  <c r="AF49" i="31"/>
  <c r="AI49" i="31" s="1"/>
  <c r="AG49" i="31"/>
  <c r="Y20" i="33"/>
  <c r="Z20" i="33" s="1"/>
  <c r="J20" i="33" s="1"/>
  <c r="AJ20" i="33"/>
  <c r="AG20" i="33"/>
  <c r="AI20" i="33"/>
  <c r="AD20" i="33" s="1"/>
  <c r="AE20" i="33"/>
  <c r="AF20" i="33"/>
  <c r="AH20" i="33"/>
  <c r="AC48" i="35"/>
  <c r="AE48" i="35" s="1"/>
  <c r="AH48" i="35" s="1"/>
  <c r="AB48" i="35"/>
  <c r="AD48" i="35" s="1"/>
  <c r="M19" i="35"/>
  <c r="AK21" i="32"/>
  <c r="H21" i="32"/>
  <c r="I21" i="32" s="1"/>
  <c r="AA18" i="35"/>
  <c r="L18" i="35"/>
  <c r="N18" i="35"/>
  <c r="AF46" i="33"/>
  <c r="AI46" i="33" s="1"/>
  <c r="AG46" i="33"/>
  <c r="S18" i="32"/>
  <c r="U18" i="32" s="1"/>
  <c r="AC20" i="37"/>
  <c r="M20" i="37" s="1"/>
  <c r="AD20" i="31"/>
  <c r="AF46" i="36"/>
  <c r="AI46" i="36" s="1"/>
  <c r="AG46" i="36"/>
  <c r="R19" i="27"/>
  <c r="S19" i="27" s="1"/>
  <c r="AF47" i="35"/>
  <c r="AI47" i="35" s="1"/>
  <c r="AG47" i="35"/>
  <c r="AR25" i="34"/>
  <c r="D25" i="34"/>
  <c r="E25" i="34"/>
  <c r="AO25" i="34"/>
  <c r="A26" i="34"/>
  <c r="B25" i="34"/>
  <c r="C25" i="34" s="1"/>
  <c r="AP25" i="34"/>
  <c r="AQ25" i="34"/>
  <c r="G25" i="34"/>
  <c r="AF45" i="37"/>
  <c r="AI45" i="37" s="1"/>
  <c r="AG45" i="37"/>
  <c r="AB48" i="27"/>
  <c r="AD48" i="27" s="1"/>
  <c r="AC48" i="27"/>
  <c r="AE48" i="27" s="1"/>
  <c r="AH48" i="27" s="1"/>
  <c r="AK22" i="39"/>
  <c r="H22" i="39"/>
  <c r="I22" i="39" s="1"/>
  <c r="T18" i="31"/>
  <c r="U18" i="31"/>
  <c r="F22" i="33"/>
  <c r="O22" i="33"/>
  <c r="P22" i="33" s="1"/>
  <c r="Q22" i="33" s="1"/>
  <c r="AA48" i="38"/>
  <c r="AJ48" i="38"/>
  <c r="AK48" i="38"/>
  <c r="AL48" i="38"/>
  <c r="AM48" i="38"/>
  <c r="Z49" i="38"/>
  <c r="M17" i="37"/>
  <c r="S17" i="37"/>
  <c r="D23" i="36"/>
  <c r="AO23" i="36"/>
  <c r="B23" i="36"/>
  <c r="C23" i="36" s="1"/>
  <c r="E23" i="36"/>
  <c r="AQ23" i="36"/>
  <c r="AP23" i="36"/>
  <c r="AR23" i="36"/>
  <c r="A24" i="36"/>
  <c r="G23" i="36"/>
  <c r="AD20" i="39"/>
  <c r="AK21" i="35"/>
  <c r="H21" i="35"/>
  <c r="I21" i="35" s="1"/>
  <c r="AF45" i="34"/>
  <c r="AI45" i="34" s="1"/>
  <c r="AG45" i="34"/>
  <c r="AB47" i="38"/>
  <c r="AD47" i="38" s="1"/>
  <c r="AC47" i="38"/>
  <c r="AE47" i="38" s="1"/>
  <c r="AH47" i="38" s="1"/>
  <c r="H22" i="31"/>
  <c r="I22" i="31" s="1"/>
  <c r="AK22" i="31"/>
  <c r="AA20" i="37"/>
  <c r="L20" i="37"/>
  <c r="N20" i="37"/>
  <c r="L19" i="32"/>
  <c r="AA19" i="32"/>
  <c r="N19" i="32"/>
  <c r="AB47" i="32"/>
  <c r="AD47" i="32" s="1"/>
  <c r="AC47" i="32"/>
  <c r="AE47" i="32" s="1"/>
  <c r="AH47" i="32" s="1"/>
  <c r="AF21" i="37"/>
  <c r="AH21" i="37"/>
  <c r="AE21" i="37"/>
  <c r="AB21" i="37" s="1"/>
  <c r="K21" i="37" s="1"/>
  <c r="AG21" i="37"/>
  <c r="AC21" i="37" s="1"/>
  <c r="M21" i="37" s="1"/>
  <c r="AJ21" i="37"/>
  <c r="AI21" i="37"/>
  <c r="AD21" i="37" s="1"/>
  <c r="Y21" i="37"/>
  <c r="Z21" i="37" s="1"/>
  <c r="J21" i="37" s="1"/>
  <c r="V18" i="33"/>
  <c r="W18" i="33"/>
  <c r="H21" i="36"/>
  <c r="I21" i="36" s="1"/>
  <c r="AK21" i="36"/>
  <c r="A24" i="35"/>
  <c r="G23" i="35"/>
  <c r="B23" i="35"/>
  <c r="C23" i="35" s="1"/>
  <c r="D23" i="35"/>
  <c r="E23" i="35"/>
  <c r="AO23" i="35"/>
  <c r="AQ23" i="35"/>
  <c r="AR23" i="35"/>
  <c r="AP23" i="35"/>
  <c r="K20" i="38"/>
  <c r="R18" i="37"/>
  <c r="K19" i="33"/>
  <c r="AD21" i="34"/>
  <c r="AD19" i="35"/>
  <c r="AA17" i="34"/>
  <c r="L17" i="34"/>
  <c r="T17" i="34" s="1"/>
  <c r="AI20" i="32"/>
  <c r="AJ20" i="32"/>
  <c r="AE20" i="32"/>
  <c r="Y20" i="32"/>
  <c r="Z20" i="32" s="1"/>
  <c r="J20" i="32" s="1"/>
  <c r="AF20" i="32"/>
  <c r="AG20" i="32"/>
  <c r="AH20" i="32"/>
  <c r="U19" i="37"/>
  <c r="AK48" i="32"/>
  <c r="AL48" i="32"/>
  <c r="AJ48" i="32"/>
  <c r="AM48" i="32"/>
  <c r="AA48" i="32"/>
  <c r="Z49" i="32"/>
  <c r="AF46" i="38"/>
  <c r="AI46" i="38" s="1"/>
  <c r="AG46" i="38"/>
  <c r="AA17" i="31"/>
  <c r="L17" i="31"/>
  <c r="T17" i="31" s="1"/>
  <c r="W17" i="27"/>
  <c r="V17" i="27"/>
  <c r="AG47" i="39"/>
  <c r="AF47" i="39"/>
  <c r="AI47" i="39" s="1"/>
  <c r="U17" i="39"/>
  <c r="V17" i="36"/>
  <c r="W17" i="36"/>
  <c r="AJ21" i="38"/>
  <c r="AG21" i="38"/>
  <c r="AH21" i="38"/>
  <c r="AF21" i="38"/>
  <c r="AE21" i="38"/>
  <c r="AB21" i="38" s="1"/>
  <c r="Y21" i="38"/>
  <c r="Z21" i="38" s="1"/>
  <c r="J21" i="38" s="1"/>
  <c r="AI21" i="38"/>
  <c r="F23" i="31"/>
  <c r="O23" i="31"/>
  <c r="P23" i="31" s="1"/>
  <c r="Q23" i="31" s="1"/>
  <c r="AC46" i="37"/>
  <c r="AE46" i="37" s="1"/>
  <c r="AH46" i="37" s="1"/>
  <c r="AB46" i="37"/>
  <c r="AD46" i="37" s="1"/>
  <c r="R19" i="34"/>
  <c r="AB20" i="31"/>
  <c r="K20" i="31" s="1"/>
  <c r="AF47" i="27"/>
  <c r="AI47" i="27" s="1"/>
  <c r="AG47" i="27"/>
  <c r="AF21" i="31"/>
  <c r="AG21" i="31"/>
  <c r="AC21" i="31" s="1"/>
  <c r="Y21" i="31"/>
  <c r="Z21" i="31" s="1"/>
  <c r="J21" i="31" s="1"/>
  <c r="AJ21" i="31"/>
  <c r="AH21" i="31"/>
  <c r="AE21" i="31"/>
  <c r="AI21" i="31"/>
  <c r="E24" i="38"/>
  <c r="AO24" i="38"/>
  <c r="AP24" i="38"/>
  <c r="AQ24" i="38"/>
  <c r="AR24" i="38"/>
  <c r="D24" i="38"/>
  <c r="A25" i="38"/>
  <c r="B24" i="38"/>
  <c r="C24" i="38" s="1"/>
  <c r="G24" i="38"/>
  <c r="F22" i="36"/>
  <c r="O22" i="36"/>
  <c r="P22" i="36" s="1"/>
  <c r="Q22" i="36" s="1"/>
  <c r="R18" i="39"/>
  <c r="S18" i="39" s="1"/>
  <c r="F23" i="27"/>
  <c r="O23" i="27"/>
  <c r="P23" i="27" s="1"/>
  <c r="Q23" i="27" s="1"/>
  <c r="AC20" i="39"/>
  <c r="B23" i="33"/>
  <c r="C23" i="33" s="1"/>
  <c r="AR23" i="33"/>
  <c r="A24" i="33"/>
  <c r="G23" i="33"/>
  <c r="AO23" i="33"/>
  <c r="AP23" i="33"/>
  <c r="AQ23" i="33"/>
  <c r="D23" i="33"/>
  <c r="E23" i="33"/>
  <c r="AC47" i="36"/>
  <c r="AE47" i="36" s="1"/>
  <c r="AH47" i="36" s="1"/>
  <c r="AB47" i="36"/>
  <c r="AD47" i="36" s="1"/>
  <c r="H22" i="37"/>
  <c r="I22" i="37" s="1"/>
  <c r="AK22" i="37"/>
  <c r="AC20" i="27"/>
  <c r="M20" i="27" s="1"/>
  <c r="Z49" i="36"/>
  <c r="AA48" i="36"/>
  <c r="AM48" i="36"/>
  <c r="AJ48" i="36"/>
  <c r="AK48" i="36"/>
  <c r="AL48" i="36"/>
  <c r="AK22" i="38"/>
  <c r="H22" i="38"/>
  <c r="I22" i="38" s="1"/>
  <c r="AI21" i="27"/>
  <c r="AG21" i="27"/>
  <c r="AH21" i="27"/>
  <c r="AF21" i="27"/>
  <c r="AE21" i="27"/>
  <c r="AB21" i="27" s="1"/>
  <c r="AJ21" i="27"/>
  <c r="Y21" i="27"/>
  <c r="Z21" i="27" s="1"/>
  <c r="J21" i="27" s="1"/>
  <c r="U17" i="27"/>
  <c r="Y20" i="35"/>
  <c r="Z20" i="35" s="1"/>
  <c r="J20" i="35" s="1"/>
  <c r="AJ20" i="35"/>
  <c r="AI20" i="35"/>
  <c r="AD20" i="35" s="1"/>
  <c r="AG20" i="35"/>
  <c r="AH20" i="35"/>
  <c r="AF20" i="35"/>
  <c r="AE20" i="35"/>
  <c r="AB20" i="35" s="1"/>
  <c r="K20" i="35" s="1"/>
  <c r="V17" i="39"/>
  <c r="W17" i="39"/>
  <c r="U18" i="27"/>
  <c r="B24" i="39"/>
  <c r="C24" i="39" s="1"/>
  <c r="E24" i="39"/>
  <c r="AO24" i="39"/>
  <c r="AP24" i="39"/>
  <c r="D24" i="39"/>
  <c r="AQ24" i="39"/>
  <c r="AR24" i="39"/>
  <c r="A25" i="39"/>
  <c r="G24" i="39"/>
  <c r="AB20" i="39"/>
  <c r="K20" i="39" s="1"/>
  <c r="AK23" i="34"/>
  <c r="H23" i="34"/>
  <c r="I23" i="34" s="1"/>
  <c r="AC21" i="34"/>
  <c r="M21" i="34" s="1"/>
  <c r="R18" i="36"/>
  <c r="AP23" i="32"/>
  <c r="D23" i="32"/>
  <c r="E23" i="32"/>
  <c r="A24" i="32"/>
  <c r="B23" i="32"/>
  <c r="C23" i="32" s="1"/>
  <c r="G23" i="32"/>
  <c r="AQ23" i="32"/>
  <c r="AR23" i="32"/>
  <c r="AO23" i="32"/>
  <c r="F23" i="37"/>
  <c r="O23" i="37"/>
  <c r="P23" i="37" s="1"/>
  <c r="Q23" i="37" s="1"/>
  <c r="F24" i="34"/>
  <c r="O24" i="34"/>
  <c r="P24" i="34" s="1"/>
  <c r="Q24" i="34" s="1"/>
  <c r="AC20" i="31"/>
  <c r="F23" i="38"/>
  <c r="O23" i="38"/>
  <c r="P23" i="38" s="1"/>
  <c r="Q23" i="38" s="1"/>
  <c r="D24" i="27"/>
  <c r="A25" i="27"/>
  <c r="E24" i="27"/>
  <c r="AO24" i="27"/>
  <c r="AP24" i="27"/>
  <c r="AQ24" i="27"/>
  <c r="B24" i="27"/>
  <c r="C24" i="27" s="1"/>
  <c r="G24" i="27"/>
  <c r="AR24" i="27"/>
  <c r="AC19" i="33"/>
  <c r="M19" i="33" s="1"/>
  <c r="M18" i="37"/>
  <c r="AB21" i="34"/>
  <c r="K21" i="34" s="1"/>
  <c r="AB19" i="36"/>
  <c r="K19" i="36" s="1"/>
  <c r="Z50" i="35"/>
  <c r="AL49" i="35"/>
  <c r="AM49" i="35"/>
  <c r="AJ49" i="35"/>
  <c r="AK49" i="35"/>
  <c r="AA49" i="35"/>
  <c r="T18" i="38"/>
  <c r="AE22" i="34"/>
  <c r="AF22" i="34"/>
  <c r="AJ22" i="34"/>
  <c r="Y22" i="34"/>
  <c r="Z22" i="34" s="1"/>
  <c r="J22" i="34" s="1"/>
  <c r="AH22" i="34"/>
  <c r="AG22" i="34"/>
  <c r="AC22" i="34" s="1"/>
  <c r="AI22" i="34"/>
  <c r="AD22" i="34" s="1"/>
  <c r="AC19" i="36"/>
  <c r="M19" i="36" s="1"/>
  <c r="AD20" i="38"/>
  <c r="AC50" i="31"/>
  <c r="AE50" i="31" s="1"/>
  <c r="AH50" i="31" s="1"/>
  <c r="AB50" i="31"/>
  <c r="AD50" i="31" s="1"/>
  <c r="B24" i="31"/>
  <c r="C24" i="31" s="1"/>
  <c r="D24" i="31"/>
  <c r="E24" i="31"/>
  <c r="AO24" i="31"/>
  <c r="A25" i="31"/>
  <c r="AP24" i="31"/>
  <c r="AQ24" i="31"/>
  <c r="AR24" i="31"/>
  <c r="G24" i="31"/>
  <c r="AK22" i="27"/>
  <c r="H22" i="27"/>
  <c r="I22" i="27" s="1"/>
  <c r="AM49" i="39"/>
  <c r="AL49" i="39"/>
  <c r="AA49" i="39"/>
  <c r="AJ49" i="39"/>
  <c r="AK49" i="39"/>
  <c r="Z50" i="39"/>
  <c r="Z50" i="27"/>
  <c r="AA49" i="27"/>
  <c r="AJ49" i="27"/>
  <c r="AK49" i="27"/>
  <c r="AM49" i="27"/>
  <c r="AL49" i="27"/>
  <c r="F22" i="32"/>
  <c r="O22" i="32"/>
  <c r="P22" i="32" s="1"/>
  <c r="Q22" i="32" s="1"/>
  <c r="AJ47" i="34"/>
  <c r="AK47" i="34"/>
  <c r="Z48" i="34"/>
  <c r="AA47" i="34"/>
  <c r="AM47" i="34"/>
  <c r="AL47" i="34"/>
  <c r="AC20" i="32" l="1"/>
  <c r="U19" i="39"/>
  <c r="U19" i="27"/>
  <c r="T18" i="39"/>
  <c r="U18" i="39"/>
  <c r="AA20" i="36"/>
  <c r="L20" i="36"/>
  <c r="N20" i="36"/>
  <c r="T18" i="37"/>
  <c r="Z51" i="27"/>
  <c r="AJ50" i="27"/>
  <c r="AM50" i="27"/>
  <c r="AA50" i="27"/>
  <c r="AK50" i="27"/>
  <c r="AL50" i="27"/>
  <c r="AK23" i="27"/>
  <c r="H23" i="27"/>
  <c r="I23" i="27" s="1"/>
  <c r="AC47" i="34"/>
  <c r="AE47" i="34" s="1"/>
  <c r="AH47" i="34" s="1"/>
  <c r="AB47" i="34"/>
  <c r="AD47" i="34" s="1"/>
  <c r="V18" i="34"/>
  <c r="W18" i="34"/>
  <c r="V17" i="31"/>
  <c r="W17" i="31"/>
  <c r="AJ49" i="38"/>
  <c r="AK49" i="38"/>
  <c r="AM49" i="38"/>
  <c r="Z50" i="38"/>
  <c r="AA49" i="38"/>
  <c r="AL49" i="38"/>
  <c r="AF50" i="31"/>
  <c r="AI50" i="31" s="1"/>
  <c r="AG50" i="31"/>
  <c r="AF21" i="35"/>
  <c r="AG21" i="35"/>
  <c r="AH21" i="35"/>
  <c r="AJ21" i="35"/>
  <c r="AI21" i="35"/>
  <c r="AD21" i="35" s="1"/>
  <c r="Y21" i="35"/>
  <c r="Z21" i="35" s="1"/>
  <c r="J21" i="35" s="1"/>
  <c r="AE21" i="35"/>
  <c r="AB21" i="35" s="1"/>
  <c r="K21" i="35" s="1"/>
  <c r="V18" i="31"/>
  <c r="W18" i="31"/>
  <c r="AB48" i="33"/>
  <c r="AD48" i="33" s="1"/>
  <c r="AC48" i="33"/>
  <c r="AE48" i="33" s="1"/>
  <c r="AH48" i="33" s="1"/>
  <c r="AK48" i="34"/>
  <c r="AL48" i="34"/>
  <c r="Z49" i="34"/>
  <c r="AJ48" i="34"/>
  <c r="AM48" i="34"/>
  <c r="AA48" i="34"/>
  <c r="F23" i="33"/>
  <c r="O23" i="33"/>
  <c r="P23" i="33" s="1"/>
  <c r="Q23" i="33" s="1"/>
  <c r="F24" i="38"/>
  <c r="O24" i="38"/>
  <c r="P24" i="38" s="1"/>
  <c r="Q24" i="38" s="1"/>
  <c r="M20" i="38"/>
  <c r="AF47" i="33"/>
  <c r="AI47" i="33" s="1"/>
  <c r="AG47" i="33"/>
  <c r="AM50" i="35"/>
  <c r="AA50" i="35"/>
  <c r="Z51" i="35"/>
  <c r="AJ50" i="35"/>
  <c r="AK50" i="35"/>
  <c r="AL50" i="35"/>
  <c r="AL49" i="36"/>
  <c r="AM49" i="36"/>
  <c r="AJ49" i="36"/>
  <c r="AA49" i="36"/>
  <c r="AK49" i="36"/>
  <c r="Z50" i="36"/>
  <c r="D25" i="37"/>
  <c r="AQ25" i="37"/>
  <c r="E25" i="37"/>
  <c r="AR25" i="37"/>
  <c r="AO25" i="37"/>
  <c r="AP25" i="37"/>
  <c r="B25" i="37"/>
  <c r="C25" i="37" s="1"/>
  <c r="A26" i="37"/>
  <c r="G25" i="37"/>
  <c r="S20" i="34"/>
  <c r="T20" i="34" s="1"/>
  <c r="AB49" i="39"/>
  <c r="AD49" i="39" s="1"/>
  <c r="AC49" i="39"/>
  <c r="AE49" i="39" s="1"/>
  <c r="AH49" i="39" s="1"/>
  <c r="AI22" i="31"/>
  <c r="AJ22" i="31"/>
  <c r="AF22" i="31"/>
  <c r="Y22" i="31"/>
  <c r="Z22" i="31" s="1"/>
  <c r="J22" i="31" s="1"/>
  <c r="AE22" i="31"/>
  <c r="AB22" i="31" s="1"/>
  <c r="K22" i="31" s="1"/>
  <c r="AH22" i="31"/>
  <c r="AG22" i="31"/>
  <c r="AC22" i="31" s="1"/>
  <c r="M22" i="31" s="1"/>
  <c r="AC20" i="33"/>
  <c r="M20" i="33" s="1"/>
  <c r="F24" i="27"/>
  <c r="O24" i="27"/>
  <c r="P24" i="27" s="1"/>
  <c r="Q24" i="27" s="1"/>
  <c r="V17" i="34"/>
  <c r="W17" i="34"/>
  <c r="Z49" i="37"/>
  <c r="AJ48" i="37"/>
  <c r="AA48" i="37"/>
  <c r="AK48" i="37"/>
  <c r="AL48" i="37"/>
  <c r="AM48" i="37"/>
  <c r="U19" i="34"/>
  <c r="T19" i="34"/>
  <c r="AK23" i="38"/>
  <c r="H23" i="38"/>
  <c r="I23" i="38" s="1"/>
  <c r="AD21" i="27"/>
  <c r="H22" i="35"/>
  <c r="I22" i="35" s="1"/>
  <c r="AK22" i="35"/>
  <c r="R19" i="31"/>
  <c r="U17" i="37"/>
  <c r="AG46" i="34"/>
  <c r="AF46" i="34"/>
  <c r="AI46" i="34" s="1"/>
  <c r="R19" i="33"/>
  <c r="S19" i="33" s="1"/>
  <c r="AJ50" i="39"/>
  <c r="AK50" i="39"/>
  <c r="Z51" i="39"/>
  <c r="AL50" i="39"/>
  <c r="AM50" i="39"/>
  <c r="AA50" i="39"/>
  <c r="H23" i="31"/>
  <c r="I23" i="31" s="1"/>
  <c r="AK23" i="31"/>
  <c r="AH22" i="39"/>
  <c r="Y22" i="39"/>
  <c r="Z22" i="39" s="1"/>
  <c r="J22" i="39" s="1"/>
  <c r="AF22" i="39"/>
  <c r="AG22" i="39"/>
  <c r="AC22" i="39" s="1"/>
  <c r="AJ22" i="39"/>
  <c r="AE22" i="39"/>
  <c r="AB22" i="39" s="1"/>
  <c r="K22" i="39" s="1"/>
  <c r="AI22" i="39"/>
  <c r="AD22" i="39" s="1"/>
  <c r="F24" i="37"/>
  <c r="O24" i="37"/>
  <c r="P24" i="37" s="1"/>
  <c r="Q24" i="37" s="1"/>
  <c r="M21" i="39"/>
  <c r="AB20" i="32"/>
  <c r="K20" i="32" s="1"/>
  <c r="AA20" i="31"/>
  <c r="L20" i="31"/>
  <c r="N20" i="31"/>
  <c r="AL49" i="33"/>
  <c r="AM49" i="33"/>
  <c r="AJ49" i="33"/>
  <c r="AK49" i="33"/>
  <c r="AA49" i="33"/>
  <c r="Z50" i="33"/>
  <c r="K21" i="27"/>
  <c r="L20" i="33"/>
  <c r="AA20" i="33"/>
  <c r="N20" i="33"/>
  <c r="AF48" i="39"/>
  <c r="AI48" i="39" s="1"/>
  <c r="AG48" i="39"/>
  <c r="AD20" i="32"/>
  <c r="AC47" i="37"/>
  <c r="AE47" i="37" s="1"/>
  <c r="AH47" i="37" s="1"/>
  <c r="AB47" i="37"/>
  <c r="AD47" i="37" s="1"/>
  <c r="AI21" i="33"/>
  <c r="Y21" i="33"/>
  <c r="Z21" i="33" s="1"/>
  <c r="J21" i="33" s="1"/>
  <c r="AH21" i="33"/>
  <c r="AJ21" i="33"/>
  <c r="AF21" i="33"/>
  <c r="AG21" i="33"/>
  <c r="AE21" i="33"/>
  <c r="AB21" i="33" s="1"/>
  <c r="AD21" i="38"/>
  <c r="AF21" i="36"/>
  <c r="AI21" i="36"/>
  <c r="AG21" i="36"/>
  <c r="Y21" i="36"/>
  <c r="Z21" i="36" s="1"/>
  <c r="J21" i="36" s="1"/>
  <c r="AH21" i="36"/>
  <c r="AJ21" i="36"/>
  <c r="AE21" i="36"/>
  <c r="AB21" i="36" s="1"/>
  <c r="K21" i="36" s="1"/>
  <c r="AQ24" i="36"/>
  <c r="AR24" i="36"/>
  <c r="E24" i="36"/>
  <c r="A25" i="36"/>
  <c r="B24" i="36"/>
  <c r="C24" i="36" s="1"/>
  <c r="D24" i="36"/>
  <c r="AO24" i="36"/>
  <c r="AP24" i="36"/>
  <c r="G24" i="36"/>
  <c r="AB22" i="34"/>
  <c r="K22" i="34" s="1"/>
  <c r="M22" i="34" s="1"/>
  <c r="AG47" i="32"/>
  <c r="AF47" i="32"/>
  <c r="AI47" i="32" s="1"/>
  <c r="S19" i="34"/>
  <c r="L20" i="35"/>
  <c r="AA20" i="35"/>
  <c r="N20" i="35"/>
  <c r="AF22" i="37"/>
  <c r="AJ22" i="37"/>
  <c r="AI22" i="37"/>
  <c r="AE22" i="37"/>
  <c r="AH22" i="37"/>
  <c r="AG22" i="37"/>
  <c r="AC22" i="37" s="1"/>
  <c r="Y22" i="37"/>
  <c r="Z22" i="37" s="1"/>
  <c r="J22" i="37" s="1"/>
  <c r="AD21" i="31"/>
  <c r="AG46" i="37"/>
  <c r="AF46" i="37"/>
  <c r="AI46" i="37" s="1"/>
  <c r="L19" i="35"/>
  <c r="AA19" i="35"/>
  <c r="N19" i="35"/>
  <c r="AG47" i="38"/>
  <c r="AF47" i="38"/>
  <c r="AI47" i="38" s="1"/>
  <c r="AC48" i="38"/>
  <c r="AE48" i="38" s="1"/>
  <c r="AH48" i="38" s="1"/>
  <c r="AB48" i="38"/>
  <c r="AD48" i="38" s="1"/>
  <c r="M20" i="36"/>
  <c r="AB49" i="27"/>
  <c r="AD49" i="27" s="1"/>
  <c r="AC49" i="27"/>
  <c r="AE49" i="27" s="1"/>
  <c r="AH49" i="27" s="1"/>
  <c r="L22" i="34"/>
  <c r="AA22" i="34"/>
  <c r="N22" i="34"/>
  <c r="AC48" i="32"/>
  <c r="AE48" i="32" s="1"/>
  <c r="AH48" i="32" s="1"/>
  <c r="AB48" i="32"/>
  <c r="AD48" i="32" s="1"/>
  <c r="F23" i="36"/>
  <c r="O23" i="36"/>
  <c r="P23" i="36" s="1"/>
  <c r="Q23" i="36" s="1"/>
  <c r="AK23" i="37"/>
  <c r="H23" i="37"/>
  <c r="I23" i="37" s="1"/>
  <c r="M21" i="31"/>
  <c r="AA20" i="39"/>
  <c r="L20" i="39"/>
  <c r="N20" i="39"/>
  <c r="AC48" i="36"/>
  <c r="AE48" i="36" s="1"/>
  <c r="AH48" i="36" s="1"/>
  <c r="AB48" i="36"/>
  <c r="AD48" i="36" s="1"/>
  <c r="AB20" i="33"/>
  <c r="K20" i="33" s="1"/>
  <c r="AF48" i="27"/>
  <c r="AI48" i="27" s="1"/>
  <c r="AG48" i="27"/>
  <c r="S19" i="39"/>
  <c r="H22" i="32"/>
  <c r="I22" i="32" s="1"/>
  <c r="AK22" i="32"/>
  <c r="AC21" i="27"/>
  <c r="L19" i="36"/>
  <c r="AA19" i="36"/>
  <c r="N19" i="36"/>
  <c r="AE22" i="27"/>
  <c r="AB22" i="27" s="1"/>
  <c r="K22" i="27" s="1"/>
  <c r="AI22" i="27"/>
  <c r="AJ22" i="27"/>
  <c r="AF22" i="27"/>
  <c r="AG22" i="27"/>
  <c r="AH22" i="27"/>
  <c r="Y22" i="27"/>
  <c r="Z22" i="27" s="1"/>
  <c r="J22" i="27" s="1"/>
  <c r="V18" i="38"/>
  <c r="W18" i="38"/>
  <c r="AJ23" i="34"/>
  <c r="AI23" i="34"/>
  <c r="AD23" i="34" s="1"/>
  <c r="AG23" i="34"/>
  <c r="AC23" i="34" s="1"/>
  <c r="Y23" i="34"/>
  <c r="Z23" i="34" s="1"/>
  <c r="J23" i="34" s="1"/>
  <c r="AE23" i="34"/>
  <c r="AF23" i="34"/>
  <c r="AH23" i="34"/>
  <c r="AC20" i="35"/>
  <c r="M20" i="35" s="1"/>
  <c r="D24" i="33"/>
  <c r="AO24" i="33"/>
  <c r="E24" i="33"/>
  <c r="G24" i="33"/>
  <c r="A25" i="33"/>
  <c r="B24" i="33"/>
  <c r="C24" i="33" s="1"/>
  <c r="AP24" i="33"/>
  <c r="AQ24" i="33"/>
  <c r="AR24" i="33"/>
  <c r="K21" i="38"/>
  <c r="F23" i="35"/>
  <c r="O23" i="35"/>
  <c r="P23" i="35" s="1"/>
  <c r="Q23" i="35" s="1"/>
  <c r="M20" i="31"/>
  <c r="B24" i="32"/>
  <c r="C24" i="32" s="1"/>
  <c r="AR24" i="32"/>
  <c r="A25" i="32"/>
  <c r="D24" i="32"/>
  <c r="E24" i="32"/>
  <c r="AO24" i="32"/>
  <c r="G24" i="32"/>
  <c r="AQ24" i="32"/>
  <c r="AP24" i="32"/>
  <c r="AG22" i="38"/>
  <c r="AI22" i="38"/>
  <c r="AH22" i="38"/>
  <c r="AE22" i="38"/>
  <c r="AF22" i="38"/>
  <c r="AJ22" i="38"/>
  <c r="Y22" i="38"/>
  <c r="Z22" i="38" s="1"/>
  <c r="J22" i="38" s="1"/>
  <c r="AK22" i="36"/>
  <c r="H22" i="36"/>
  <c r="I22" i="36" s="1"/>
  <c r="AB21" i="31"/>
  <c r="K21" i="31" s="1"/>
  <c r="L21" i="34"/>
  <c r="AA21" i="34"/>
  <c r="N21" i="34"/>
  <c r="AA21" i="37"/>
  <c r="L21" i="37"/>
  <c r="N21" i="37"/>
  <c r="R18" i="35"/>
  <c r="AF48" i="35"/>
  <c r="AI48" i="35" s="1"/>
  <c r="AG48" i="35"/>
  <c r="T18" i="32"/>
  <c r="AJ52" i="31"/>
  <c r="AK52" i="31"/>
  <c r="AL52" i="31"/>
  <c r="AM52" i="31"/>
  <c r="Z53" i="31"/>
  <c r="AA52" i="31"/>
  <c r="AB21" i="39"/>
  <c r="K21" i="39" s="1"/>
  <c r="R20" i="27"/>
  <c r="T17" i="37"/>
  <c r="AA49" i="32"/>
  <c r="AJ49" i="32"/>
  <c r="AK49" i="32"/>
  <c r="AL49" i="32"/>
  <c r="AM49" i="32"/>
  <c r="Z50" i="32"/>
  <c r="S18" i="37"/>
  <c r="U18" i="37" s="1"/>
  <c r="L21" i="39"/>
  <c r="AA21" i="39"/>
  <c r="N21" i="39"/>
  <c r="D25" i="31"/>
  <c r="E25" i="31"/>
  <c r="AO25" i="31"/>
  <c r="AR25" i="31"/>
  <c r="A26" i="31"/>
  <c r="B25" i="31"/>
  <c r="C25" i="31" s="1"/>
  <c r="AP25" i="31"/>
  <c r="AQ25" i="31"/>
  <c r="G25" i="31"/>
  <c r="S18" i="36"/>
  <c r="T18" i="36" s="1"/>
  <c r="AP25" i="39"/>
  <c r="D25" i="39"/>
  <c r="AR25" i="39"/>
  <c r="E25" i="39"/>
  <c r="AO25" i="39"/>
  <c r="A26" i="39"/>
  <c r="B25" i="39"/>
  <c r="C25" i="39" s="1"/>
  <c r="AQ25" i="39"/>
  <c r="G25" i="39"/>
  <c r="A26" i="38"/>
  <c r="AO25" i="38"/>
  <c r="AP25" i="38"/>
  <c r="B25" i="38"/>
  <c r="C25" i="38" s="1"/>
  <c r="D25" i="38"/>
  <c r="AQ25" i="38"/>
  <c r="E25" i="38"/>
  <c r="AR25" i="38"/>
  <c r="G25" i="38"/>
  <c r="B26" i="34"/>
  <c r="C26" i="34" s="1"/>
  <c r="AO26" i="34"/>
  <c r="AP26" i="34"/>
  <c r="AQ26" i="34"/>
  <c r="A27" i="34"/>
  <c r="AR26" i="34"/>
  <c r="D26" i="34"/>
  <c r="E26" i="34"/>
  <c r="G26" i="34"/>
  <c r="R20" i="37"/>
  <c r="S20" i="37" s="1"/>
  <c r="F24" i="31"/>
  <c r="O24" i="31"/>
  <c r="P24" i="31" s="1"/>
  <c r="Q24" i="31" s="1"/>
  <c r="G25" i="27"/>
  <c r="AQ25" i="27"/>
  <c r="AR25" i="27"/>
  <c r="B25" i="27"/>
  <c r="C25" i="27" s="1"/>
  <c r="A26" i="27"/>
  <c r="AP25" i="27"/>
  <c r="AO25" i="27"/>
  <c r="D25" i="27"/>
  <c r="E25" i="27"/>
  <c r="F24" i="39"/>
  <c r="O24" i="39"/>
  <c r="P24" i="39" s="1"/>
  <c r="Q24" i="39" s="1"/>
  <c r="F25" i="34"/>
  <c r="O25" i="34"/>
  <c r="P25" i="34" s="1"/>
  <c r="Q25" i="34" s="1"/>
  <c r="AA20" i="38"/>
  <c r="L20" i="38"/>
  <c r="N20" i="38"/>
  <c r="AB49" i="35"/>
  <c r="AD49" i="35" s="1"/>
  <c r="AC49" i="35"/>
  <c r="AE49" i="35" s="1"/>
  <c r="AH49" i="35" s="1"/>
  <c r="AK24" i="34"/>
  <c r="H24" i="34"/>
  <c r="I24" i="34" s="1"/>
  <c r="F23" i="32"/>
  <c r="O23" i="32"/>
  <c r="P23" i="32" s="1"/>
  <c r="Q23" i="32" s="1"/>
  <c r="AF47" i="36"/>
  <c r="AI47" i="36" s="1"/>
  <c r="AG47" i="36"/>
  <c r="M20" i="39"/>
  <c r="AC21" i="38"/>
  <c r="M21" i="38" s="1"/>
  <c r="T19" i="27"/>
  <c r="D24" i="35"/>
  <c r="B24" i="35"/>
  <c r="C24" i="35" s="1"/>
  <c r="AO24" i="35"/>
  <c r="AP24" i="35"/>
  <c r="AQ24" i="35"/>
  <c r="AR24" i="35"/>
  <c r="A25" i="35"/>
  <c r="E24" i="35"/>
  <c r="G24" i="35"/>
  <c r="R19" i="32"/>
  <c r="H22" i="33"/>
  <c r="I22" i="33" s="1"/>
  <c r="AK22" i="33"/>
  <c r="AI21" i="32"/>
  <c r="AG21" i="32"/>
  <c r="AJ21" i="32"/>
  <c r="AH21" i="32"/>
  <c r="AF21" i="32"/>
  <c r="Y21" i="32"/>
  <c r="Z21" i="32" s="1"/>
  <c r="J21" i="32" s="1"/>
  <c r="AE21" i="32"/>
  <c r="H23" i="39"/>
  <c r="I23" i="39" s="1"/>
  <c r="AK23" i="39"/>
  <c r="AC51" i="31"/>
  <c r="AE51" i="31" s="1"/>
  <c r="AH51" i="31" s="1"/>
  <c r="AB51" i="31"/>
  <c r="AD51" i="31" s="1"/>
  <c r="V18" i="36" l="1"/>
  <c r="W18" i="36"/>
  <c r="T19" i="33"/>
  <c r="U19" i="31"/>
  <c r="T20" i="37"/>
  <c r="F25" i="39"/>
  <c r="O25" i="39"/>
  <c r="P25" i="39" s="1"/>
  <c r="Q25" i="39" s="1"/>
  <c r="AA49" i="34"/>
  <c r="AM49" i="34"/>
  <c r="AL49" i="34"/>
  <c r="AJ49" i="34"/>
  <c r="AK49" i="34"/>
  <c r="Z50" i="34"/>
  <c r="AF48" i="38"/>
  <c r="AI48" i="38" s="1"/>
  <c r="AG48" i="38"/>
  <c r="R20" i="39"/>
  <c r="AB50" i="35"/>
  <c r="AD50" i="35" s="1"/>
  <c r="AC50" i="35"/>
  <c r="AE50" i="35" s="1"/>
  <c r="AH50" i="35" s="1"/>
  <c r="AJ50" i="38"/>
  <c r="AK50" i="38"/>
  <c r="AL50" i="38"/>
  <c r="AA50" i="38"/>
  <c r="Z51" i="38"/>
  <c r="AM50" i="38"/>
  <c r="Z54" i="31"/>
  <c r="AJ53" i="31"/>
  <c r="AA53" i="31"/>
  <c r="AK53" i="31"/>
  <c r="AL53" i="31"/>
  <c r="AM53" i="31"/>
  <c r="R21" i="37"/>
  <c r="R19" i="35"/>
  <c r="S19" i="35" s="1"/>
  <c r="AB49" i="32"/>
  <c r="AD49" i="32" s="1"/>
  <c r="AC49" i="32"/>
  <c r="AE49" i="32" s="1"/>
  <c r="AH49" i="32" s="1"/>
  <c r="B25" i="32"/>
  <c r="C25" i="32" s="1"/>
  <c r="D25" i="32"/>
  <c r="AQ25" i="32"/>
  <c r="AR25" i="32"/>
  <c r="A26" i="32"/>
  <c r="AP25" i="32"/>
  <c r="E25" i="32"/>
  <c r="G25" i="32"/>
  <c r="AO25" i="32"/>
  <c r="AR25" i="33"/>
  <c r="E25" i="33"/>
  <c r="G25" i="33"/>
  <c r="B25" i="33"/>
  <c r="C25" i="33" s="1"/>
  <c r="D25" i="33"/>
  <c r="AO25" i="33"/>
  <c r="AP25" i="33"/>
  <c r="AQ25" i="33"/>
  <c r="A26" i="33"/>
  <c r="M20" i="32"/>
  <c r="AF47" i="37"/>
  <c r="AI47" i="37" s="1"/>
  <c r="AG47" i="37"/>
  <c r="AC21" i="36"/>
  <c r="M21" i="36" s="1"/>
  <c r="AK51" i="39"/>
  <c r="AA51" i="39"/>
  <c r="AJ51" i="39"/>
  <c r="AL51" i="39"/>
  <c r="AM51" i="39"/>
  <c r="Z52" i="39"/>
  <c r="AR26" i="31"/>
  <c r="A27" i="31"/>
  <c r="D26" i="31"/>
  <c r="E26" i="31"/>
  <c r="B26" i="31"/>
  <c r="C26" i="31" s="1"/>
  <c r="AO26" i="31"/>
  <c r="AP26" i="31"/>
  <c r="G26" i="31"/>
  <c r="AQ26" i="31"/>
  <c r="S19" i="31"/>
  <c r="V18" i="39"/>
  <c r="W18" i="39"/>
  <c r="D26" i="27"/>
  <c r="AQ26" i="27"/>
  <c r="AP26" i="27"/>
  <c r="AR26" i="27"/>
  <c r="E26" i="27"/>
  <c r="G26" i="27"/>
  <c r="B26" i="27"/>
  <c r="C26" i="27" s="1"/>
  <c r="A27" i="27"/>
  <c r="AO26" i="27"/>
  <c r="F25" i="38"/>
  <c r="O25" i="38"/>
  <c r="P25" i="38" s="1"/>
  <c r="Q25" i="38" s="1"/>
  <c r="AA21" i="27"/>
  <c r="L21" i="27"/>
  <c r="N21" i="27"/>
  <c r="F25" i="37"/>
  <c r="O25" i="37"/>
  <c r="P25" i="37" s="1"/>
  <c r="Q25" i="37" s="1"/>
  <c r="G25" i="35"/>
  <c r="AQ25" i="35"/>
  <c r="AR25" i="35"/>
  <c r="A26" i="35"/>
  <c r="AP25" i="35"/>
  <c r="AO25" i="35"/>
  <c r="D25" i="35"/>
  <c r="E25" i="35"/>
  <c r="B25" i="35"/>
  <c r="C25" i="35" s="1"/>
  <c r="L23" i="34"/>
  <c r="AA23" i="34"/>
  <c r="N23" i="34"/>
  <c r="AA21" i="35"/>
  <c r="L21" i="35"/>
  <c r="N21" i="35"/>
  <c r="S20" i="38"/>
  <c r="U20" i="38" s="1"/>
  <c r="R20" i="38"/>
  <c r="R20" i="35"/>
  <c r="H24" i="37"/>
  <c r="I24" i="37" s="1"/>
  <c r="AK24" i="37"/>
  <c r="R20" i="36"/>
  <c r="R21" i="34"/>
  <c r="V20" i="34"/>
  <c r="W20" i="34"/>
  <c r="AI23" i="27"/>
  <c r="AH23" i="27"/>
  <c r="AE23" i="27"/>
  <c r="AJ23" i="27"/>
  <c r="Y23" i="27"/>
  <c r="Z23" i="27" s="1"/>
  <c r="J23" i="27" s="1"/>
  <c r="AG23" i="27"/>
  <c r="AC23" i="27" s="1"/>
  <c r="AF23" i="27"/>
  <c r="AD21" i="32"/>
  <c r="AC21" i="35"/>
  <c r="M21" i="35" s="1"/>
  <c r="AD21" i="36"/>
  <c r="D26" i="37"/>
  <c r="AQ26" i="37"/>
  <c r="AR26" i="37"/>
  <c r="A27" i="37"/>
  <c r="AP26" i="37"/>
  <c r="AO26" i="37"/>
  <c r="B26" i="37"/>
  <c r="C26" i="37" s="1"/>
  <c r="E26" i="37"/>
  <c r="G26" i="37"/>
  <c r="U20" i="34"/>
  <c r="F24" i="36"/>
  <c r="O24" i="36"/>
  <c r="P24" i="36" s="1"/>
  <c r="Q24" i="36" s="1"/>
  <c r="AF49" i="27"/>
  <c r="AI49" i="27" s="1"/>
  <c r="AG49" i="27"/>
  <c r="AK23" i="33"/>
  <c r="H23" i="33"/>
  <c r="I23" i="33" s="1"/>
  <c r="AC50" i="27"/>
  <c r="AE50" i="27" s="1"/>
  <c r="AH50" i="27" s="1"/>
  <c r="AB50" i="27"/>
  <c r="AD50" i="27" s="1"/>
  <c r="AB52" i="31"/>
  <c r="AD52" i="31" s="1"/>
  <c r="AC52" i="31"/>
  <c r="AE52" i="31" s="1"/>
  <c r="AH52" i="31" s="1"/>
  <c r="R20" i="33"/>
  <c r="S20" i="33" s="1"/>
  <c r="AF47" i="34"/>
  <c r="AI47" i="34" s="1"/>
  <c r="AG47" i="34"/>
  <c r="F26" i="34"/>
  <c r="O26" i="34"/>
  <c r="P26" i="34" s="1"/>
  <c r="Q26" i="34" s="1"/>
  <c r="AG23" i="38"/>
  <c r="AC23" i="38" s="1"/>
  <c r="M23" i="38" s="1"/>
  <c r="AF23" i="38"/>
  <c r="Y23" i="38"/>
  <c r="Z23" i="38" s="1"/>
  <c r="J23" i="38" s="1"/>
  <c r="AJ23" i="38"/>
  <c r="AE23" i="38"/>
  <c r="AB23" i="38" s="1"/>
  <c r="K23" i="38" s="1"/>
  <c r="AI23" i="38"/>
  <c r="AD23" i="38" s="1"/>
  <c r="AH23" i="38"/>
  <c r="R19" i="36"/>
  <c r="D27" i="34"/>
  <c r="AQ27" i="34"/>
  <c r="AR27" i="34"/>
  <c r="A28" i="34"/>
  <c r="AO27" i="34"/>
  <c r="AP27" i="34"/>
  <c r="E27" i="34"/>
  <c r="B27" i="34"/>
  <c r="C27" i="34" s="1"/>
  <c r="G27" i="34"/>
  <c r="AB22" i="38"/>
  <c r="K22" i="38" s="1"/>
  <c r="Z51" i="33"/>
  <c r="AM50" i="33"/>
  <c r="AJ50" i="33"/>
  <c r="AK50" i="33"/>
  <c r="AL50" i="33"/>
  <c r="AA50" i="33"/>
  <c r="AG49" i="39"/>
  <c r="AF49" i="39"/>
  <c r="AI49" i="39" s="1"/>
  <c r="AC21" i="32"/>
  <c r="AC49" i="33"/>
  <c r="AE49" i="33" s="1"/>
  <c r="AH49" i="33" s="1"/>
  <c r="AB49" i="33"/>
  <c r="AD49" i="33" s="1"/>
  <c r="AB49" i="36"/>
  <c r="AD49" i="36" s="1"/>
  <c r="AC49" i="36"/>
  <c r="AE49" i="36" s="1"/>
  <c r="AH49" i="36" s="1"/>
  <c r="AF48" i="33"/>
  <c r="AI48" i="33" s="1"/>
  <c r="AG48" i="33"/>
  <c r="AC22" i="38"/>
  <c r="M22" i="38" s="1"/>
  <c r="AF48" i="36"/>
  <c r="AI48" i="36" s="1"/>
  <c r="AG48" i="36"/>
  <c r="Y22" i="33"/>
  <c r="Z22" i="33" s="1"/>
  <c r="J22" i="33" s="1"/>
  <c r="AE22" i="33"/>
  <c r="AF22" i="33"/>
  <c r="AH22" i="33"/>
  <c r="AJ22" i="33"/>
  <c r="AG22" i="33"/>
  <c r="AC22" i="33" s="1"/>
  <c r="AI22" i="33"/>
  <c r="AD22" i="33" s="1"/>
  <c r="H24" i="39"/>
  <c r="I24" i="39" s="1"/>
  <c r="AK24" i="39"/>
  <c r="AG22" i="36"/>
  <c r="AC22" i="36" s="1"/>
  <c r="M22" i="36" s="1"/>
  <c r="AJ22" i="36"/>
  <c r="Y22" i="36"/>
  <c r="Z22" i="36" s="1"/>
  <c r="J22" i="36" s="1"/>
  <c r="AH22" i="36"/>
  <c r="AF22" i="36"/>
  <c r="AE22" i="36"/>
  <c r="AB22" i="36" s="1"/>
  <c r="K22" i="36" s="1"/>
  <c r="AI22" i="36"/>
  <c r="AD22" i="36" s="1"/>
  <c r="F24" i="33"/>
  <c r="O24" i="33"/>
  <c r="P24" i="33" s="1"/>
  <c r="Q24" i="33" s="1"/>
  <c r="M22" i="39"/>
  <c r="F24" i="35"/>
  <c r="O24" i="35"/>
  <c r="P24" i="35" s="1"/>
  <c r="Q24" i="35" s="1"/>
  <c r="AR26" i="39"/>
  <c r="D26" i="39"/>
  <c r="A27" i="39"/>
  <c r="E26" i="39"/>
  <c r="AQ26" i="39"/>
  <c r="G26" i="39"/>
  <c r="AO26" i="39"/>
  <c r="AP26" i="39"/>
  <c r="B26" i="39"/>
  <c r="C26" i="39" s="1"/>
  <c r="AF22" i="32"/>
  <c r="AJ22" i="32"/>
  <c r="AI22" i="32"/>
  <c r="AD22" i="32" s="1"/>
  <c r="AG22" i="32"/>
  <c r="AC22" i="32" s="1"/>
  <c r="AH22" i="32"/>
  <c r="Y22" i="32"/>
  <c r="Z22" i="32" s="1"/>
  <c r="J22" i="32" s="1"/>
  <c r="AE22" i="32"/>
  <c r="AA21" i="38"/>
  <c r="L21" i="38"/>
  <c r="N21" i="38"/>
  <c r="AA20" i="32"/>
  <c r="L20" i="32"/>
  <c r="N20" i="32"/>
  <c r="V19" i="27"/>
  <c r="W19" i="27"/>
  <c r="F25" i="27"/>
  <c r="O25" i="27"/>
  <c r="P25" i="27" s="1"/>
  <c r="Q25" i="27" s="1"/>
  <c r="H23" i="35"/>
  <c r="I23" i="35" s="1"/>
  <c r="AK23" i="35"/>
  <c r="B25" i="36"/>
  <c r="C25" i="36" s="1"/>
  <c r="AO25" i="36"/>
  <c r="AP25" i="36"/>
  <c r="AQ25" i="36"/>
  <c r="D25" i="36"/>
  <c r="AR25" i="36"/>
  <c r="E25" i="36"/>
  <c r="A26" i="36"/>
  <c r="G25" i="36"/>
  <c r="K21" i="33"/>
  <c r="U20" i="37"/>
  <c r="Y22" i="35"/>
  <c r="Z22" i="35" s="1"/>
  <c r="J22" i="35" s="1"/>
  <c r="AF22" i="35"/>
  <c r="AI22" i="35"/>
  <c r="AJ22" i="35"/>
  <c r="AG22" i="35"/>
  <c r="AH22" i="35"/>
  <c r="AE22" i="35"/>
  <c r="AB22" i="35" s="1"/>
  <c r="K22" i="35" s="1"/>
  <c r="AC48" i="37"/>
  <c r="AE48" i="37" s="1"/>
  <c r="AH48" i="37" s="1"/>
  <c r="AB48" i="37"/>
  <c r="AD48" i="37" s="1"/>
  <c r="AC48" i="34"/>
  <c r="AE48" i="34" s="1"/>
  <c r="AH48" i="34" s="1"/>
  <c r="AB48" i="34"/>
  <c r="AD48" i="34" s="1"/>
  <c r="T19" i="39"/>
  <c r="AG23" i="31"/>
  <c r="AF23" i="31"/>
  <c r="AJ23" i="31"/>
  <c r="AH23" i="31"/>
  <c r="AE23" i="31"/>
  <c r="AB23" i="31" s="1"/>
  <c r="K23" i="31" s="1"/>
  <c r="AI23" i="31"/>
  <c r="AD23" i="31" s="1"/>
  <c r="Y23" i="31"/>
  <c r="Z23" i="31" s="1"/>
  <c r="J23" i="31" s="1"/>
  <c r="V18" i="37"/>
  <c r="W18" i="37"/>
  <c r="R21" i="39"/>
  <c r="F24" i="32"/>
  <c r="O24" i="32"/>
  <c r="P24" i="32" s="1"/>
  <c r="Q24" i="32" s="1"/>
  <c r="AA50" i="36"/>
  <c r="AL50" i="36"/>
  <c r="AM50" i="36"/>
  <c r="Z51" i="36"/>
  <c r="AJ50" i="36"/>
  <c r="AK50" i="36"/>
  <c r="R22" i="34"/>
  <c r="S22" i="34" s="1"/>
  <c r="AD21" i="33"/>
  <c r="AB50" i="39"/>
  <c r="AD50" i="39" s="1"/>
  <c r="AC50" i="39"/>
  <c r="AE50" i="39" s="1"/>
  <c r="AH50" i="39" s="1"/>
  <c r="H24" i="27"/>
  <c r="I24" i="27" s="1"/>
  <c r="AK24" i="27"/>
  <c r="B26" i="38"/>
  <c r="C26" i="38" s="1"/>
  <c r="AO26" i="38"/>
  <c r="AP26" i="38"/>
  <c r="D26" i="38"/>
  <c r="E26" i="38"/>
  <c r="G26" i="38"/>
  <c r="AR26" i="38"/>
  <c r="AQ26" i="38"/>
  <c r="A27" i="38"/>
  <c r="AI23" i="37"/>
  <c r="AD23" i="37" s="1"/>
  <c r="AF23" i="37"/>
  <c r="AH23" i="37"/>
  <c r="AG23" i="37"/>
  <c r="AC23" i="37" s="1"/>
  <c r="AE23" i="37"/>
  <c r="AB23" i="37" s="1"/>
  <c r="AJ23" i="37"/>
  <c r="Y23" i="37"/>
  <c r="Z23" i="37" s="1"/>
  <c r="J23" i="37" s="1"/>
  <c r="L22" i="39"/>
  <c r="AA22" i="39"/>
  <c r="N22" i="39"/>
  <c r="V19" i="34"/>
  <c r="W19" i="34"/>
  <c r="AF51" i="31"/>
  <c r="AI51" i="31" s="1"/>
  <c r="AG51" i="31"/>
  <c r="H25" i="34"/>
  <c r="I25" i="34" s="1"/>
  <c r="AK25" i="34"/>
  <c r="AD22" i="38"/>
  <c r="AK23" i="32"/>
  <c r="H23" i="32"/>
  <c r="I23" i="32" s="1"/>
  <c r="AK24" i="31"/>
  <c r="H24" i="31"/>
  <c r="I24" i="31" s="1"/>
  <c r="V17" i="37"/>
  <c r="W17" i="37"/>
  <c r="V18" i="32"/>
  <c r="W18" i="32"/>
  <c r="M21" i="27"/>
  <c r="L21" i="31"/>
  <c r="AA21" i="31"/>
  <c r="N21" i="31"/>
  <c r="H24" i="38"/>
  <c r="I24" i="38" s="1"/>
  <c r="AK24" i="38"/>
  <c r="AI24" i="34"/>
  <c r="AJ24" i="34"/>
  <c r="AF24" i="34"/>
  <c r="AG24" i="34"/>
  <c r="Y24" i="34"/>
  <c r="Z24" i="34" s="1"/>
  <c r="J24" i="34" s="1"/>
  <c r="AH24" i="34"/>
  <c r="AE24" i="34"/>
  <c r="AC22" i="27"/>
  <c r="M22" i="27" s="1"/>
  <c r="AK23" i="36"/>
  <c r="H23" i="36"/>
  <c r="I23" i="36" s="1"/>
  <c r="AI23" i="39"/>
  <c r="Y23" i="39"/>
  <c r="Z23" i="39" s="1"/>
  <c r="J23" i="39" s="1"/>
  <c r="AG23" i="39"/>
  <c r="AH23" i="39"/>
  <c r="AF23" i="39"/>
  <c r="AE23" i="39"/>
  <c r="AB23" i="39" s="1"/>
  <c r="K23" i="39" s="1"/>
  <c r="AJ23" i="39"/>
  <c r="S20" i="27"/>
  <c r="U20" i="27" s="1"/>
  <c r="AB22" i="37"/>
  <c r="K22" i="37" s="1"/>
  <c r="M22" i="37" s="1"/>
  <c r="AC21" i="33"/>
  <c r="M21" i="33" s="1"/>
  <c r="U19" i="33"/>
  <c r="AL50" i="32"/>
  <c r="AM50" i="32"/>
  <c r="AJ50" i="32"/>
  <c r="Z51" i="32"/>
  <c r="AA50" i="32"/>
  <c r="AK50" i="32"/>
  <c r="S18" i="35"/>
  <c r="T18" i="35" s="1"/>
  <c r="AB21" i="32"/>
  <c r="K21" i="32" s="1"/>
  <c r="S19" i="32"/>
  <c r="T19" i="32" s="1"/>
  <c r="AF49" i="35"/>
  <c r="AI49" i="35" s="1"/>
  <c r="AG49" i="35"/>
  <c r="F25" i="31"/>
  <c r="O25" i="31"/>
  <c r="P25" i="31" s="1"/>
  <c r="Q25" i="31" s="1"/>
  <c r="AB23" i="34"/>
  <c r="K23" i="34" s="1"/>
  <c r="AD22" i="27"/>
  <c r="AF48" i="32"/>
  <c r="AI48" i="32" s="1"/>
  <c r="AG48" i="32"/>
  <c r="AD22" i="37"/>
  <c r="R20" i="31"/>
  <c r="AL49" i="37"/>
  <c r="AM49" i="37"/>
  <c r="AA49" i="37"/>
  <c r="Z50" i="37"/>
  <c r="AJ49" i="37"/>
  <c r="AK49" i="37"/>
  <c r="AD22" i="31"/>
  <c r="AJ51" i="35"/>
  <c r="AK51" i="35"/>
  <c r="AL51" i="35"/>
  <c r="AA51" i="35"/>
  <c r="AM51" i="35"/>
  <c r="Z52" i="35"/>
  <c r="U18" i="36"/>
  <c r="AC49" i="38"/>
  <c r="AE49" i="38" s="1"/>
  <c r="AH49" i="38" s="1"/>
  <c r="AB49" i="38"/>
  <c r="AD49" i="38" s="1"/>
  <c r="AM51" i="27"/>
  <c r="AA51" i="27"/>
  <c r="Z52" i="27"/>
  <c r="AJ51" i="27"/>
  <c r="AK51" i="27"/>
  <c r="AL51" i="27"/>
  <c r="U19" i="32" l="1"/>
  <c r="U22" i="34"/>
  <c r="T21" i="37"/>
  <c r="V19" i="32"/>
  <c r="W19" i="32"/>
  <c r="U21" i="39"/>
  <c r="U20" i="36"/>
  <c r="L22" i="31"/>
  <c r="AA22" i="31"/>
  <c r="N22" i="31"/>
  <c r="L23" i="31"/>
  <c r="AA23" i="31"/>
  <c r="N23" i="31"/>
  <c r="F26" i="31"/>
  <c r="O26" i="31"/>
  <c r="P26" i="31" s="1"/>
  <c r="Q26" i="31" s="1"/>
  <c r="R22" i="39"/>
  <c r="R21" i="35"/>
  <c r="AA21" i="33"/>
  <c r="L21" i="33"/>
  <c r="N21" i="33"/>
  <c r="AC23" i="31"/>
  <c r="M23" i="31" s="1"/>
  <c r="AK24" i="33"/>
  <c r="H24" i="33"/>
  <c r="I24" i="33" s="1"/>
  <c r="T20" i="27"/>
  <c r="AK25" i="37"/>
  <c r="H25" i="37"/>
  <c r="I25" i="37" s="1"/>
  <c r="S20" i="35"/>
  <c r="U19" i="35"/>
  <c r="AF52" i="31"/>
  <c r="AI52" i="31" s="1"/>
  <c r="AG52" i="31"/>
  <c r="S21" i="34"/>
  <c r="T21" i="34" s="1"/>
  <c r="AF49" i="32"/>
  <c r="AI49" i="32" s="1"/>
  <c r="AG49" i="32"/>
  <c r="AB53" i="31"/>
  <c r="AD53" i="31" s="1"/>
  <c r="AC53" i="31"/>
  <c r="AE53" i="31" s="1"/>
  <c r="AH53" i="31" s="1"/>
  <c r="V18" i="35"/>
  <c r="W18" i="35"/>
  <c r="H24" i="35"/>
  <c r="I24" i="35" s="1"/>
  <c r="AK24" i="35"/>
  <c r="U19" i="36"/>
  <c r="L21" i="32"/>
  <c r="AA21" i="32"/>
  <c r="N21" i="32"/>
  <c r="AF50" i="39"/>
  <c r="AI50" i="39" s="1"/>
  <c r="AG50" i="39"/>
  <c r="AF50" i="27"/>
  <c r="AI50" i="27" s="1"/>
  <c r="AG50" i="27"/>
  <c r="AC50" i="32"/>
  <c r="AE50" i="32" s="1"/>
  <c r="AH50" i="32" s="1"/>
  <c r="AB50" i="32"/>
  <c r="AD50" i="32" s="1"/>
  <c r="AK25" i="38"/>
  <c r="H25" i="38"/>
  <c r="I25" i="38" s="1"/>
  <c r="U20" i="39"/>
  <c r="F26" i="38"/>
  <c r="O26" i="38"/>
  <c r="P26" i="38" s="1"/>
  <c r="Q26" i="38" s="1"/>
  <c r="R21" i="38"/>
  <c r="M21" i="32"/>
  <c r="H24" i="36"/>
  <c r="I24" i="36" s="1"/>
  <c r="AK24" i="36"/>
  <c r="S20" i="39"/>
  <c r="L22" i="36"/>
  <c r="AA22" i="36"/>
  <c r="N22" i="36"/>
  <c r="AK25" i="39"/>
  <c r="H25" i="39"/>
  <c r="I25" i="39" s="1"/>
  <c r="AB24" i="34"/>
  <c r="K24" i="34" s="1"/>
  <c r="L22" i="38"/>
  <c r="AA22" i="38"/>
  <c r="N22" i="38"/>
  <c r="L23" i="38"/>
  <c r="AA23" i="38"/>
  <c r="N23" i="38"/>
  <c r="M23" i="37"/>
  <c r="V19" i="39"/>
  <c r="W19" i="39"/>
  <c r="T19" i="36"/>
  <c r="AB51" i="39"/>
  <c r="AD51" i="39" s="1"/>
  <c r="AC51" i="39"/>
  <c r="AE51" i="39" s="1"/>
  <c r="AH51" i="39" s="1"/>
  <c r="AC50" i="38"/>
  <c r="AE50" i="38" s="1"/>
  <c r="AH50" i="38" s="1"/>
  <c r="AB50" i="38"/>
  <c r="AD50" i="38" s="1"/>
  <c r="T22" i="34"/>
  <c r="U20" i="35"/>
  <c r="AB50" i="36"/>
  <c r="AD50" i="36" s="1"/>
  <c r="AC50" i="36"/>
  <c r="AE50" i="36" s="1"/>
  <c r="AH50" i="36" s="1"/>
  <c r="L22" i="32"/>
  <c r="AA22" i="32"/>
  <c r="N22" i="32"/>
  <c r="B26" i="35"/>
  <c r="C26" i="35" s="1"/>
  <c r="D26" i="35"/>
  <c r="E26" i="35"/>
  <c r="G26" i="35"/>
  <c r="AO26" i="35"/>
  <c r="AP26" i="35"/>
  <c r="AQ26" i="35"/>
  <c r="AR26" i="35"/>
  <c r="A27" i="35"/>
  <c r="AG24" i="31"/>
  <c r="Y24" i="31"/>
  <c r="Z24" i="31" s="1"/>
  <c r="J24" i="31" s="1"/>
  <c r="AH24" i="31"/>
  <c r="AJ24" i="31"/>
  <c r="AE24" i="31"/>
  <c r="AF24" i="31"/>
  <c r="AI24" i="31"/>
  <c r="AD24" i="31" s="1"/>
  <c r="R20" i="32"/>
  <c r="AJ24" i="39"/>
  <c r="AE24" i="39"/>
  <c r="AB24" i="39" s="1"/>
  <c r="K24" i="39" s="1"/>
  <c r="AG24" i="39"/>
  <c r="AI24" i="39"/>
  <c r="AH24" i="39"/>
  <c r="Y24" i="39"/>
  <c r="Z24" i="39" s="1"/>
  <c r="J24" i="39" s="1"/>
  <c r="AF24" i="39"/>
  <c r="S19" i="36"/>
  <c r="S20" i="36"/>
  <c r="T20" i="36" s="1"/>
  <c r="AF50" i="35"/>
  <c r="AI50" i="35" s="1"/>
  <c r="AG50" i="35"/>
  <c r="L22" i="33"/>
  <c r="AA22" i="33"/>
  <c r="N22" i="33"/>
  <c r="T19" i="31"/>
  <c r="AB49" i="34"/>
  <c r="AD49" i="34" s="1"/>
  <c r="AC49" i="34"/>
  <c r="AE49" i="34" s="1"/>
  <c r="AH49" i="34" s="1"/>
  <c r="R21" i="31"/>
  <c r="S21" i="31" s="1"/>
  <c r="M22" i="33"/>
  <c r="T19" i="35"/>
  <c r="AJ52" i="35"/>
  <c r="Z53" i="35"/>
  <c r="AK52" i="35"/>
  <c r="AA52" i="35"/>
  <c r="AM52" i="35"/>
  <c r="AL52" i="35"/>
  <c r="AR27" i="37"/>
  <c r="A28" i="37"/>
  <c r="B27" i="37"/>
  <c r="C27" i="37" s="1"/>
  <c r="D27" i="37"/>
  <c r="E27" i="37"/>
  <c r="AO27" i="37"/>
  <c r="AP27" i="37"/>
  <c r="AQ27" i="37"/>
  <c r="G27" i="37"/>
  <c r="D26" i="33"/>
  <c r="AQ26" i="33"/>
  <c r="E26" i="33"/>
  <c r="AR26" i="33"/>
  <c r="AO26" i="33"/>
  <c r="AP26" i="33"/>
  <c r="G26" i="33"/>
  <c r="A27" i="33"/>
  <c r="B26" i="33"/>
  <c r="C26" i="33" s="1"/>
  <c r="K23" i="37"/>
  <c r="AB23" i="27"/>
  <c r="K23" i="27" s="1"/>
  <c r="M23" i="27" s="1"/>
  <c r="AP26" i="32"/>
  <c r="AO26" i="32"/>
  <c r="B26" i="32"/>
  <c r="C26" i="32" s="1"/>
  <c r="AQ26" i="32"/>
  <c r="AR26" i="32"/>
  <c r="E26" i="32"/>
  <c r="G26" i="32"/>
  <c r="A27" i="32"/>
  <c r="D26" i="32"/>
  <c r="U20" i="31"/>
  <c r="AC23" i="39"/>
  <c r="M23" i="39" s="1"/>
  <c r="AH25" i="34"/>
  <c r="AJ25" i="34"/>
  <c r="AI25" i="34"/>
  <c r="AD25" i="34" s="1"/>
  <c r="AE25" i="34"/>
  <c r="AF25" i="34"/>
  <c r="Y25" i="34"/>
  <c r="Z25" i="34" s="1"/>
  <c r="J25" i="34" s="1"/>
  <c r="AG25" i="34"/>
  <c r="AC25" i="34" s="1"/>
  <c r="AF48" i="34"/>
  <c r="AI48" i="34" s="1"/>
  <c r="AG48" i="34"/>
  <c r="AD22" i="35"/>
  <c r="F25" i="36"/>
  <c r="O25" i="36"/>
  <c r="P25" i="36" s="1"/>
  <c r="Q25" i="36" s="1"/>
  <c r="AK25" i="27"/>
  <c r="H25" i="27"/>
  <c r="I25" i="27" s="1"/>
  <c r="AB22" i="32"/>
  <c r="K22" i="32" s="1"/>
  <c r="AB22" i="33"/>
  <c r="K22" i="33" s="1"/>
  <c r="AG49" i="36"/>
  <c r="AF49" i="36"/>
  <c r="AI49" i="36" s="1"/>
  <c r="F26" i="37"/>
  <c r="O26" i="37"/>
  <c r="P26" i="37" s="1"/>
  <c r="Q26" i="37" s="1"/>
  <c r="AD23" i="27"/>
  <c r="M23" i="34"/>
  <c r="S21" i="37"/>
  <c r="T21" i="39"/>
  <c r="AJ23" i="36"/>
  <c r="AF23" i="36"/>
  <c r="AE23" i="36"/>
  <c r="AB23" i="36" s="1"/>
  <c r="K23" i="36" s="1"/>
  <c r="AH23" i="36"/>
  <c r="AI23" i="36"/>
  <c r="AD23" i="36" s="1"/>
  <c r="AG23" i="36"/>
  <c r="AC23" i="36" s="1"/>
  <c r="M23" i="36" s="1"/>
  <c r="Y23" i="36"/>
  <c r="Z23" i="36" s="1"/>
  <c r="J23" i="36" s="1"/>
  <c r="AF49" i="38"/>
  <c r="AI49" i="38" s="1"/>
  <c r="AG49" i="38"/>
  <c r="AF48" i="37"/>
  <c r="AI48" i="37" s="1"/>
  <c r="AG48" i="37"/>
  <c r="H26" i="34"/>
  <c r="I26" i="34" s="1"/>
  <c r="AK26" i="34"/>
  <c r="D27" i="31"/>
  <c r="E27" i="31"/>
  <c r="AP27" i="31"/>
  <c r="AQ27" i="31"/>
  <c r="AR27" i="31"/>
  <c r="A28" i="31"/>
  <c r="AO27" i="31"/>
  <c r="G27" i="31"/>
  <c r="B27" i="31"/>
  <c r="C27" i="31" s="1"/>
  <c r="AJ50" i="37"/>
  <c r="Z51" i="37"/>
  <c r="AK50" i="37"/>
  <c r="AL50" i="37"/>
  <c r="AM50" i="37"/>
  <c r="AA50" i="37"/>
  <c r="AJ54" i="31"/>
  <c r="Z55" i="31"/>
  <c r="AM54" i="31"/>
  <c r="AA54" i="31"/>
  <c r="AL54" i="31"/>
  <c r="AK54" i="31"/>
  <c r="T20" i="38"/>
  <c r="AA52" i="39"/>
  <c r="AM52" i="39"/>
  <c r="AJ52" i="39"/>
  <c r="AK52" i="39"/>
  <c r="AL52" i="39"/>
  <c r="Z53" i="39"/>
  <c r="AE23" i="35"/>
  <c r="AB23" i="35" s="1"/>
  <c r="K23" i="35" s="1"/>
  <c r="AI23" i="35"/>
  <c r="Y23" i="35"/>
  <c r="Z23" i="35" s="1"/>
  <c r="J23" i="35" s="1"/>
  <c r="AJ23" i="35"/>
  <c r="AG23" i="35"/>
  <c r="AH23" i="35"/>
  <c r="AF23" i="35"/>
  <c r="AJ24" i="37"/>
  <c r="AE24" i="37"/>
  <c r="AH24" i="37"/>
  <c r="AF24" i="37"/>
  <c r="Y24" i="37"/>
  <c r="Z24" i="37" s="1"/>
  <c r="J24" i="37" s="1"/>
  <c r="AI24" i="37"/>
  <c r="AG24" i="37"/>
  <c r="D26" i="36"/>
  <c r="AO26" i="36"/>
  <c r="AP26" i="36"/>
  <c r="AQ26" i="36"/>
  <c r="AR26" i="36"/>
  <c r="A27" i="36"/>
  <c r="B26" i="36"/>
  <c r="C26" i="36" s="1"/>
  <c r="E26" i="36"/>
  <c r="G26" i="36"/>
  <c r="U20" i="33"/>
  <c r="R23" i="34"/>
  <c r="AO27" i="27"/>
  <c r="AR27" i="27"/>
  <c r="A28" i="27"/>
  <c r="G27" i="27"/>
  <c r="AP27" i="27"/>
  <c r="AQ27" i="27"/>
  <c r="B27" i="27"/>
  <c r="C27" i="27" s="1"/>
  <c r="D27" i="27"/>
  <c r="E27" i="27"/>
  <c r="H25" i="31"/>
  <c r="I25" i="31" s="1"/>
  <c r="AK25" i="31"/>
  <c r="AC22" i="35"/>
  <c r="M22" i="35" s="1"/>
  <c r="Y23" i="33"/>
  <c r="Z23" i="33" s="1"/>
  <c r="J23" i="33" s="1"/>
  <c r="AG23" i="33"/>
  <c r="AI23" i="33"/>
  <c r="AH23" i="33"/>
  <c r="AJ23" i="33"/>
  <c r="AE23" i="33"/>
  <c r="AF23" i="33"/>
  <c r="AA51" i="38"/>
  <c r="AL51" i="38"/>
  <c r="AM51" i="38"/>
  <c r="AJ51" i="38"/>
  <c r="AK51" i="38"/>
  <c r="Z52" i="38"/>
  <c r="AB51" i="35"/>
  <c r="AD51" i="35" s="1"/>
  <c r="AC51" i="35"/>
  <c r="AE51" i="35" s="1"/>
  <c r="AH51" i="35" s="1"/>
  <c r="S21" i="39"/>
  <c r="AB50" i="33"/>
  <c r="AD50" i="33" s="1"/>
  <c r="AC50" i="33"/>
  <c r="AE50" i="33" s="1"/>
  <c r="AH50" i="33" s="1"/>
  <c r="E28" i="34"/>
  <c r="A29" i="34"/>
  <c r="B28" i="34"/>
  <c r="C28" i="34" s="1"/>
  <c r="D28" i="34"/>
  <c r="G28" i="34"/>
  <c r="S20" i="31"/>
  <c r="AK51" i="36"/>
  <c r="AL51" i="36"/>
  <c r="AM51" i="36"/>
  <c r="AJ51" i="36"/>
  <c r="Z52" i="36"/>
  <c r="AA51" i="36"/>
  <c r="AA52" i="27"/>
  <c r="Z53" i="27"/>
  <c r="AK52" i="27"/>
  <c r="AL52" i="27"/>
  <c r="AM52" i="27"/>
  <c r="AJ52" i="27"/>
  <c r="U18" i="35"/>
  <c r="AD23" i="39"/>
  <c r="AC24" i="34"/>
  <c r="M24" i="34" s="1"/>
  <c r="B27" i="39"/>
  <c r="C27" i="39" s="1"/>
  <c r="AQ27" i="39"/>
  <c r="AR27" i="39"/>
  <c r="A28" i="39"/>
  <c r="D27" i="39"/>
  <c r="E27" i="39"/>
  <c r="AO27" i="39"/>
  <c r="AP27" i="39"/>
  <c r="G27" i="39"/>
  <c r="L21" i="36"/>
  <c r="AA21" i="36"/>
  <c r="N21" i="36"/>
  <c r="O25" i="35"/>
  <c r="P25" i="35" s="1"/>
  <c r="Q25" i="35" s="1"/>
  <c r="F25" i="35"/>
  <c r="F25" i="33"/>
  <c r="O25" i="33"/>
  <c r="P25" i="33" s="1"/>
  <c r="Q25" i="33" s="1"/>
  <c r="F25" i="32"/>
  <c r="O25" i="32"/>
  <c r="P25" i="32" s="1"/>
  <c r="Q25" i="32" s="1"/>
  <c r="T20" i="33"/>
  <c r="E27" i="38"/>
  <c r="AO27" i="38"/>
  <c r="AP27" i="38"/>
  <c r="A28" i="38"/>
  <c r="D27" i="38"/>
  <c r="AQ27" i="38"/>
  <c r="AR27" i="38"/>
  <c r="B27" i="38"/>
  <c r="C27" i="38" s="1"/>
  <c r="G27" i="38"/>
  <c r="AD24" i="34"/>
  <c r="Z52" i="33"/>
  <c r="AK51" i="33"/>
  <c r="AL51" i="33"/>
  <c r="AM51" i="33"/>
  <c r="AJ51" i="33"/>
  <c r="AA51" i="33"/>
  <c r="F26" i="27"/>
  <c r="O26" i="27"/>
  <c r="P26" i="27" s="1"/>
  <c r="Q26" i="27" s="1"/>
  <c r="R21" i="27"/>
  <c r="S21" i="27" s="1"/>
  <c r="T21" i="27" s="1"/>
  <c r="AA22" i="27"/>
  <c r="L22" i="27"/>
  <c r="N22" i="27"/>
  <c r="Y24" i="38"/>
  <c r="Z24" i="38" s="1"/>
  <c r="J24" i="38" s="1"/>
  <c r="AG24" i="38"/>
  <c r="AI24" i="38"/>
  <c r="AH24" i="38"/>
  <c r="AF24" i="38"/>
  <c r="AJ24" i="38"/>
  <c r="AE24" i="38"/>
  <c r="AB24" i="38" s="1"/>
  <c r="K24" i="38" s="1"/>
  <c r="AB49" i="37"/>
  <c r="AD49" i="37" s="1"/>
  <c r="AC49" i="37"/>
  <c r="AE49" i="37" s="1"/>
  <c r="AH49" i="37" s="1"/>
  <c r="AJ23" i="32"/>
  <c r="AE23" i="32"/>
  <c r="AI23" i="32"/>
  <c r="AD23" i="32" s="1"/>
  <c r="AH23" i="32"/>
  <c r="AG23" i="32"/>
  <c r="AC23" i="32" s="1"/>
  <c r="AF23" i="32"/>
  <c r="Y23" i="32"/>
  <c r="Z23" i="32" s="1"/>
  <c r="J23" i="32" s="1"/>
  <c r="H24" i="32"/>
  <c r="I24" i="32" s="1"/>
  <c r="AK24" i="32"/>
  <c r="V19" i="33"/>
  <c r="W19" i="33"/>
  <c r="AJ51" i="32"/>
  <c r="Z52" i="32"/>
  <c r="AK51" i="32"/>
  <c r="AL51" i="32"/>
  <c r="AA51" i="32"/>
  <c r="AM51" i="32"/>
  <c r="AB51" i="27"/>
  <c r="AD51" i="27" s="1"/>
  <c r="AC51" i="27"/>
  <c r="AE51" i="27" s="1"/>
  <c r="AH51" i="27" s="1"/>
  <c r="L22" i="37"/>
  <c r="AA22" i="37"/>
  <c r="N22" i="37"/>
  <c r="AA23" i="37"/>
  <c r="L23" i="37"/>
  <c r="N23" i="37"/>
  <c r="AG24" i="27"/>
  <c r="AC24" i="27" s="1"/>
  <c r="AJ24" i="27"/>
  <c r="AH24" i="27"/>
  <c r="AI24" i="27"/>
  <c r="Y24" i="27"/>
  <c r="Z24" i="27" s="1"/>
  <c r="J24" i="27" s="1"/>
  <c r="AE24" i="27"/>
  <c r="AF24" i="27"/>
  <c r="F26" i="39"/>
  <c r="O26" i="39"/>
  <c r="P26" i="39" s="1"/>
  <c r="Q26" i="39" s="1"/>
  <c r="AF49" i="33"/>
  <c r="AI49" i="33" s="1"/>
  <c r="AG49" i="33"/>
  <c r="F27" i="34"/>
  <c r="O27" i="34"/>
  <c r="P27" i="34" s="1"/>
  <c r="Q27" i="34" s="1"/>
  <c r="AJ50" i="34"/>
  <c r="AK50" i="34"/>
  <c r="AL50" i="34"/>
  <c r="AM50" i="34"/>
  <c r="Z51" i="34"/>
  <c r="AA50" i="34"/>
  <c r="V20" i="37"/>
  <c r="W20" i="37"/>
  <c r="U21" i="31" l="1"/>
  <c r="V21" i="34"/>
  <c r="W21" i="34"/>
  <c r="V20" i="36"/>
  <c r="W20" i="36"/>
  <c r="V21" i="27"/>
  <c r="W21" i="27"/>
  <c r="Y24" i="32"/>
  <c r="Z24" i="32" s="1"/>
  <c r="J24" i="32" s="1"/>
  <c r="AI24" i="32"/>
  <c r="AF24" i="32"/>
  <c r="AH24" i="32"/>
  <c r="AE24" i="32"/>
  <c r="AG24" i="32"/>
  <c r="AJ24" i="32"/>
  <c r="F27" i="27"/>
  <c r="O27" i="27"/>
  <c r="P27" i="27" s="1"/>
  <c r="Q27" i="27" s="1"/>
  <c r="R22" i="33"/>
  <c r="AF50" i="32"/>
  <c r="AI50" i="32" s="1"/>
  <c r="AG50" i="32"/>
  <c r="AB23" i="33"/>
  <c r="K23" i="33" s="1"/>
  <c r="AA23" i="39"/>
  <c r="L23" i="39"/>
  <c r="N23" i="39"/>
  <c r="S21" i="38"/>
  <c r="T21" i="38" s="1"/>
  <c r="AB51" i="36"/>
  <c r="AD51" i="36" s="1"/>
  <c r="AC51" i="36"/>
  <c r="AE51" i="36" s="1"/>
  <c r="AH51" i="36" s="1"/>
  <c r="AK26" i="27"/>
  <c r="H26" i="27"/>
  <c r="I26" i="27" s="1"/>
  <c r="AK25" i="32"/>
  <c r="H25" i="32"/>
  <c r="I25" i="32" s="1"/>
  <c r="Y26" i="34"/>
  <c r="Z26" i="34" s="1"/>
  <c r="J26" i="34" s="1"/>
  <c r="AJ26" i="34"/>
  <c r="AH26" i="34"/>
  <c r="AG26" i="34"/>
  <c r="AC26" i="34" s="1"/>
  <c r="AI26" i="34"/>
  <c r="AD26" i="34" s="1"/>
  <c r="AE26" i="34"/>
  <c r="AB26" i="34" s="1"/>
  <c r="K26" i="34" s="1"/>
  <c r="AF26" i="34"/>
  <c r="V19" i="35"/>
  <c r="W19" i="35"/>
  <c r="R21" i="32"/>
  <c r="AC51" i="32"/>
  <c r="AE51" i="32" s="1"/>
  <c r="AH51" i="32" s="1"/>
  <c r="AB51" i="32"/>
  <c r="AD51" i="32" s="1"/>
  <c r="AA52" i="36"/>
  <c r="AM52" i="36"/>
  <c r="AK52" i="36"/>
  <c r="AL52" i="36"/>
  <c r="Z53" i="36"/>
  <c r="AJ52" i="36"/>
  <c r="H26" i="37"/>
  <c r="I26" i="37" s="1"/>
  <c r="AK26" i="37"/>
  <c r="R22" i="38"/>
  <c r="AQ27" i="36"/>
  <c r="AR27" i="36"/>
  <c r="D27" i="36"/>
  <c r="E27" i="36"/>
  <c r="AP27" i="36"/>
  <c r="A28" i="36"/>
  <c r="AO27" i="36"/>
  <c r="B27" i="36"/>
  <c r="C27" i="36" s="1"/>
  <c r="G27" i="36"/>
  <c r="S20" i="32"/>
  <c r="U20" i="32" s="1"/>
  <c r="F27" i="38"/>
  <c r="O27" i="38"/>
  <c r="P27" i="38" s="1"/>
  <c r="Q27" i="38" s="1"/>
  <c r="AL55" i="31"/>
  <c r="Z56" i="31"/>
  <c r="AJ55" i="31"/>
  <c r="AA55" i="31"/>
  <c r="AK55" i="31"/>
  <c r="AM55" i="31"/>
  <c r="D28" i="37"/>
  <c r="B28" i="37"/>
  <c r="C28" i="37" s="1"/>
  <c r="E28" i="37"/>
  <c r="A29" i="37"/>
  <c r="G28" i="37"/>
  <c r="AD23" i="33"/>
  <c r="R22" i="37"/>
  <c r="Y25" i="27"/>
  <c r="Z25" i="27" s="1"/>
  <c r="J25" i="27" s="1"/>
  <c r="AG25" i="27"/>
  <c r="AE25" i="27"/>
  <c r="AH25" i="27"/>
  <c r="AJ25" i="27"/>
  <c r="AF25" i="27"/>
  <c r="AI25" i="27"/>
  <c r="AD25" i="27" s="1"/>
  <c r="F26" i="35"/>
  <c r="O26" i="35"/>
  <c r="P26" i="35" s="1"/>
  <c r="Q26" i="35" s="1"/>
  <c r="A30" i="34"/>
  <c r="AO29" i="34"/>
  <c r="AP29" i="34"/>
  <c r="AQ29" i="34"/>
  <c r="AR29" i="34"/>
  <c r="B29" i="34"/>
  <c r="C29" i="34" s="1"/>
  <c r="E29" i="34"/>
  <c r="D29" i="34"/>
  <c r="G29" i="34"/>
  <c r="Y24" i="36"/>
  <c r="Z24" i="36" s="1"/>
  <c r="J24" i="36" s="1"/>
  <c r="AE24" i="36"/>
  <c r="AF24" i="36"/>
  <c r="AJ24" i="36"/>
  <c r="AG24" i="36"/>
  <c r="AH24" i="36"/>
  <c r="AI24" i="36"/>
  <c r="AD24" i="36" s="1"/>
  <c r="F26" i="32"/>
  <c r="O26" i="32"/>
  <c r="P26" i="32" s="1"/>
  <c r="Q26" i="32" s="1"/>
  <c r="V21" i="37"/>
  <c r="W21" i="37"/>
  <c r="AB24" i="37"/>
  <c r="K24" i="37" s="1"/>
  <c r="AB54" i="31"/>
  <c r="AD54" i="31" s="1"/>
  <c r="AC54" i="31"/>
  <c r="AE54" i="31" s="1"/>
  <c r="AH54" i="31" s="1"/>
  <c r="F27" i="37"/>
  <c r="O27" i="37"/>
  <c r="P27" i="37" s="1"/>
  <c r="Q27" i="37" s="1"/>
  <c r="Y24" i="33"/>
  <c r="Z24" i="33" s="1"/>
  <c r="J24" i="33" s="1"/>
  <c r="AH24" i="33"/>
  <c r="AE24" i="33"/>
  <c r="AF24" i="33"/>
  <c r="AI24" i="33"/>
  <c r="AG24" i="33"/>
  <c r="AC24" i="33" s="1"/>
  <c r="AJ24" i="33"/>
  <c r="M23" i="32"/>
  <c r="AD24" i="38"/>
  <c r="AB25" i="34"/>
  <c r="K25" i="34" s="1"/>
  <c r="AF25" i="39"/>
  <c r="AJ25" i="39"/>
  <c r="AG25" i="39"/>
  <c r="AE25" i="39"/>
  <c r="AB25" i="39" s="1"/>
  <c r="AH25" i="39"/>
  <c r="Y25" i="39"/>
  <c r="Z25" i="39" s="1"/>
  <c r="J25" i="39" s="1"/>
  <c r="AI25" i="39"/>
  <c r="AD25" i="39" s="1"/>
  <c r="AF24" i="35"/>
  <c r="AG24" i="35"/>
  <c r="AE24" i="35"/>
  <c r="AB24" i="35" s="1"/>
  <c r="K24" i="35" s="1"/>
  <c r="AH24" i="35"/>
  <c r="AI24" i="35"/>
  <c r="AD24" i="35" s="1"/>
  <c r="Y24" i="35"/>
  <c r="Z24" i="35" s="1"/>
  <c r="J24" i="35" s="1"/>
  <c r="AJ24" i="35"/>
  <c r="L23" i="32"/>
  <c r="AA23" i="32"/>
  <c r="N23" i="32"/>
  <c r="G28" i="27"/>
  <c r="B28" i="27"/>
  <c r="C28" i="27" s="1"/>
  <c r="A29" i="27"/>
  <c r="D28" i="27"/>
  <c r="E28" i="27"/>
  <c r="AG50" i="38"/>
  <c r="AF50" i="38"/>
  <c r="AI50" i="38" s="1"/>
  <c r="AK26" i="38"/>
  <c r="H26" i="38"/>
  <c r="I26" i="38" s="1"/>
  <c r="AB23" i="32"/>
  <c r="K23" i="32" s="1"/>
  <c r="AC23" i="33"/>
  <c r="M23" i="33" s="1"/>
  <c r="T20" i="32"/>
  <c r="U21" i="37"/>
  <c r="AG49" i="34"/>
  <c r="AF49" i="34"/>
  <c r="AI49" i="34" s="1"/>
  <c r="AE25" i="38"/>
  <c r="AF25" i="38"/>
  <c r="AG25" i="38"/>
  <c r="AH25" i="38"/>
  <c r="AI25" i="38"/>
  <c r="AJ25" i="38"/>
  <c r="Y25" i="38"/>
  <c r="Z25" i="38" s="1"/>
  <c r="J25" i="38" s="1"/>
  <c r="S23" i="31"/>
  <c r="R23" i="31"/>
  <c r="AL51" i="37"/>
  <c r="Z52" i="37"/>
  <c r="AJ51" i="37"/>
  <c r="AA51" i="37"/>
  <c r="AK51" i="37"/>
  <c r="AM51" i="37"/>
  <c r="AF51" i="39"/>
  <c r="AI51" i="39" s="1"/>
  <c r="AG51" i="39"/>
  <c r="AF53" i="31"/>
  <c r="AI53" i="31" s="1"/>
  <c r="AG53" i="31"/>
  <c r="AA23" i="36"/>
  <c r="L23" i="36"/>
  <c r="N23" i="36"/>
  <c r="D27" i="33"/>
  <c r="AQ27" i="33"/>
  <c r="AR27" i="33"/>
  <c r="A28" i="33"/>
  <c r="AP27" i="33"/>
  <c r="E27" i="33"/>
  <c r="B27" i="33"/>
  <c r="C27" i="33" s="1"/>
  <c r="AO27" i="33"/>
  <c r="G27" i="33"/>
  <c r="AG50" i="36"/>
  <c r="AF50" i="36"/>
  <c r="AI50" i="36" s="1"/>
  <c r="D27" i="32"/>
  <c r="E27" i="32"/>
  <c r="AP27" i="32"/>
  <c r="AQ27" i="32"/>
  <c r="G27" i="32"/>
  <c r="AR27" i="32"/>
  <c r="A28" i="32"/>
  <c r="B27" i="32"/>
  <c r="C27" i="32" s="1"/>
  <c r="AO27" i="32"/>
  <c r="H25" i="35"/>
  <c r="I25" i="35" s="1"/>
  <c r="AK25" i="35"/>
  <c r="AL52" i="32"/>
  <c r="AA52" i="32"/>
  <c r="AJ52" i="32"/>
  <c r="AK52" i="32"/>
  <c r="Z53" i="32"/>
  <c r="AM52" i="32"/>
  <c r="AB51" i="33"/>
  <c r="AD51" i="33" s="1"/>
  <c r="AC51" i="33"/>
  <c r="AE51" i="33" s="1"/>
  <c r="AH51" i="33" s="1"/>
  <c r="L24" i="31"/>
  <c r="AA24" i="31"/>
  <c r="N24" i="31"/>
  <c r="V19" i="36"/>
  <c r="W19" i="36"/>
  <c r="AK52" i="38"/>
  <c r="AJ52" i="38"/>
  <c r="AL52" i="38"/>
  <c r="AM52" i="38"/>
  <c r="AA52" i="38"/>
  <c r="Z53" i="38"/>
  <c r="AA25" i="34"/>
  <c r="L25" i="34"/>
  <c r="N25" i="34"/>
  <c r="R21" i="36"/>
  <c r="V21" i="39"/>
  <c r="W21" i="39"/>
  <c r="M22" i="32"/>
  <c r="A29" i="39"/>
  <c r="B28" i="39"/>
  <c r="C28" i="39" s="1"/>
  <c r="D28" i="39"/>
  <c r="E28" i="39"/>
  <c r="G28" i="39"/>
  <c r="R22" i="36"/>
  <c r="S22" i="36" s="1"/>
  <c r="AB24" i="27"/>
  <c r="K24" i="27" s="1"/>
  <c r="M24" i="27" s="1"/>
  <c r="T21" i="31"/>
  <c r="AC52" i="39"/>
  <c r="AE52" i="39" s="1"/>
  <c r="AH52" i="39" s="1"/>
  <c r="AB52" i="39"/>
  <c r="AD52" i="39" s="1"/>
  <c r="AB50" i="37"/>
  <c r="AD50" i="37" s="1"/>
  <c r="AC50" i="37"/>
  <c r="AE50" i="37" s="1"/>
  <c r="AH50" i="37" s="1"/>
  <c r="R22" i="27"/>
  <c r="AJ52" i="33"/>
  <c r="Z53" i="33"/>
  <c r="AL52" i="33"/>
  <c r="AM52" i="33"/>
  <c r="AK52" i="33"/>
  <c r="AA52" i="33"/>
  <c r="V20" i="33"/>
  <c r="W20" i="33"/>
  <c r="AF50" i="33"/>
  <c r="AI50" i="33" s="1"/>
  <c r="AG50" i="33"/>
  <c r="S23" i="34"/>
  <c r="AC24" i="37"/>
  <c r="U21" i="27"/>
  <c r="AK25" i="36"/>
  <c r="H25" i="36"/>
  <c r="I25" i="36" s="1"/>
  <c r="V19" i="31"/>
  <c r="W19" i="31"/>
  <c r="R22" i="32"/>
  <c r="T20" i="39"/>
  <c r="Y25" i="37"/>
  <c r="Z25" i="37" s="1"/>
  <c r="J25" i="37" s="1"/>
  <c r="AE25" i="37"/>
  <c r="AJ25" i="37"/>
  <c r="AF25" i="37"/>
  <c r="AG25" i="37"/>
  <c r="AI25" i="37"/>
  <c r="AD25" i="37" s="1"/>
  <c r="AH25" i="37"/>
  <c r="S21" i="35"/>
  <c r="V20" i="27"/>
  <c r="W20" i="27"/>
  <c r="S22" i="39"/>
  <c r="U22" i="39" s="1"/>
  <c r="H26" i="39"/>
  <c r="I26" i="39" s="1"/>
  <c r="AK26" i="39"/>
  <c r="H25" i="33"/>
  <c r="I25" i="33" s="1"/>
  <c r="AK25" i="33"/>
  <c r="Z54" i="39"/>
  <c r="AJ53" i="39"/>
  <c r="AK53" i="39"/>
  <c r="AL53" i="39"/>
  <c r="AM53" i="39"/>
  <c r="AA53" i="39"/>
  <c r="S23" i="37"/>
  <c r="T23" i="37" s="1"/>
  <c r="R23" i="37"/>
  <c r="AG51" i="35"/>
  <c r="AF51" i="35"/>
  <c r="AI51" i="35" s="1"/>
  <c r="V22" i="34"/>
  <c r="W22" i="34"/>
  <c r="H26" i="31"/>
  <c r="I26" i="31" s="1"/>
  <c r="AK26" i="31"/>
  <c r="AC24" i="38"/>
  <c r="M24" i="38" s="1"/>
  <c r="A29" i="38"/>
  <c r="B28" i="38"/>
  <c r="C28" i="38" s="1"/>
  <c r="D28" i="38"/>
  <c r="E28" i="38"/>
  <c r="G28" i="38"/>
  <c r="D28" i="31"/>
  <c r="E28" i="31"/>
  <c r="B28" i="31"/>
  <c r="C28" i="31" s="1"/>
  <c r="G28" i="31"/>
  <c r="A29" i="31"/>
  <c r="F27" i="39"/>
  <c r="O27" i="39"/>
  <c r="P27" i="39" s="1"/>
  <c r="Q27" i="39" s="1"/>
  <c r="AB24" i="31"/>
  <c r="K24" i="31" s="1"/>
  <c r="F26" i="36"/>
  <c r="O26" i="36"/>
  <c r="P26" i="36" s="1"/>
  <c r="Q26" i="36" s="1"/>
  <c r="S21" i="33"/>
  <c r="R21" i="33"/>
  <c r="T20" i="31"/>
  <c r="AC23" i="35"/>
  <c r="M23" i="35" s="1"/>
  <c r="F26" i="33"/>
  <c r="O26" i="33"/>
  <c r="P26" i="33" s="1"/>
  <c r="Q26" i="33" s="1"/>
  <c r="AB52" i="35"/>
  <c r="AD52" i="35" s="1"/>
  <c r="AC52" i="35"/>
  <c r="AE52" i="35" s="1"/>
  <c r="AH52" i="35" s="1"/>
  <c r="AK27" i="34"/>
  <c r="H27" i="34"/>
  <c r="I27" i="34" s="1"/>
  <c r="AJ53" i="27"/>
  <c r="Z54" i="27"/>
  <c r="AK53" i="27"/>
  <c r="AL53" i="27"/>
  <c r="AM53" i="27"/>
  <c r="AA53" i="27"/>
  <c r="F28" i="34"/>
  <c r="O28" i="34"/>
  <c r="P28" i="34" s="1"/>
  <c r="Q28" i="34" s="1"/>
  <c r="AI25" i="31"/>
  <c r="AJ25" i="31"/>
  <c r="AH25" i="31"/>
  <c r="AG25" i="31"/>
  <c r="AC25" i="31" s="1"/>
  <c r="AE25" i="31"/>
  <c r="AF25" i="31"/>
  <c r="Y25" i="31"/>
  <c r="Z25" i="31" s="1"/>
  <c r="J25" i="31" s="1"/>
  <c r="AD24" i="37"/>
  <c r="L22" i="35"/>
  <c r="AA22" i="35"/>
  <c r="N22" i="35"/>
  <c r="AK53" i="35"/>
  <c r="AL53" i="35"/>
  <c r="AA53" i="35"/>
  <c r="AM53" i="35"/>
  <c r="AJ53" i="35"/>
  <c r="Z54" i="35"/>
  <c r="AD24" i="39"/>
  <c r="AC24" i="31"/>
  <c r="R23" i="38"/>
  <c r="U21" i="38"/>
  <c r="T20" i="35"/>
  <c r="AB50" i="34"/>
  <c r="AD50" i="34" s="1"/>
  <c r="AC50" i="34"/>
  <c r="AE50" i="34" s="1"/>
  <c r="AH50" i="34" s="1"/>
  <c r="AF51" i="27"/>
  <c r="AI51" i="27" s="1"/>
  <c r="AG51" i="27"/>
  <c r="AJ51" i="34"/>
  <c r="AK51" i="34"/>
  <c r="Z52" i="34"/>
  <c r="AL51" i="34"/>
  <c r="AM51" i="34"/>
  <c r="AA51" i="34"/>
  <c r="AD24" i="27"/>
  <c r="L24" i="34"/>
  <c r="AA24" i="34"/>
  <c r="N24" i="34"/>
  <c r="AC51" i="38"/>
  <c r="AE51" i="38" s="1"/>
  <c r="AH51" i="38" s="1"/>
  <c r="AB51" i="38"/>
  <c r="AD51" i="38" s="1"/>
  <c r="V20" i="38"/>
  <c r="W20" i="38"/>
  <c r="F27" i="31"/>
  <c r="O27" i="31"/>
  <c r="P27" i="31" s="1"/>
  <c r="Q27" i="31" s="1"/>
  <c r="U21" i="34"/>
  <c r="AF49" i="37"/>
  <c r="AI49" i="37" s="1"/>
  <c r="AG49" i="37"/>
  <c r="AB52" i="27"/>
  <c r="AD52" i="27" s="1"/>
  <c r="AC52" i="27"/>
  <c r="AE52" i="27" s="1"/>
  <c r="AH52" i="27" s="1"/>
  <c r="AD23" i="35"/>
  <c r="L23" i="27"/>
  <c r="AA23" i="27"/>
  <c r="N23" i="27"/>
  <c r="AC24" i="39"/>
  <c r="M24" i="39" s="1"/>
  <c r="D27" i="35"/>
  <c r="E27" i="35"/>
  <c r="AO27" i="35"/>
  <c r="B27" i="35"/>
  <c r="C27" i="35" s="1"/>
  <c r="G27" i="35"/>
  <c r="AP27" i="35"/>
  <c r="AQ27" i="35"/>
  <c r="AR27" i="35"/>
  <c r="A28" i="35"/>
  <c r="R22" i="31"/>
  <c r="S22" i="31" s="1"/>
  <c r="AC24" i="32" l="1"/>
  <c r="AB24" i="32"/>
  <c r="K24" i="32" s="1"/>
  <c r="U22" i="31"/>
  <c r="T22" i="31"/>
  <c r="V23" i="37"/>
  <c r="W23" i="37"/>
  <c r="V21" i="38"/>
  <c r="W21" i="38"/>
  <c r="V20" i="35"/>
  <c r="W20" i="35"/>
  <c r="F28" i="38"/>
  <c r="O28" i="38"/>
  <c r="P28" i="38" s="1"/>
  <c r="Q28" i="38" s="1"/>
  <c r="AB52" i="32"/>
  <c r="AD52" i="32" s="1"/>
  <c r="AC52" i="32"/>
  <c r="AE52" i="32" s="1"/>
  <c r="AH52" i="32" s="1"/>
  <c r="AD25" i="31"/>
  <c r="L24" i="38"/>
  <c r="AA24" i="38"/>
  <c r="N24" i="38"/>
  <c r="AL52" i="34"/>
  <c r="AM52" i="34"/>
  <c r="AA52" i="34"/>
  <c r="AJ52" i="34"/>
  <c r="AK52" i="34"/>
  <c r="Z53" i="34"/>
  <c r="M26" i="34"/>
  <c r="AE25" i="33"/>
  <c r="AB25" i="33" s="1"/>
  <c r="Y25" i="33"/>
  <c r="Z25" i="33" s="1"/>
  <c r="J25" i="33" s="1"/>
  <c r="AG25" i="33"/>
  <c r="AC25" i="33" s="1"/>
  <c r="AJ25" i="33"/>
  <c r="AI25" i="33"/>
  <c r="AD25" i="33" s="1"/>
  <c r="AF25" i="33"/>
  <c r="AH25" i="33"/>
  <c r="AB52" i="36"/>
  <c r="AD52" i="36" s="1"/>
  <c r="AC52" i="36"/>
  <c r="AE52" i="36" s="1"/>
  <c r="AH52" i="36" s="1"/>
  <c r="U23" i="34"/>
  <c r="T23" i="34"/>
  <c r="AA24" i="35"/>
  <c r="L24" i="35"/>
  <c r="N24" i="35"/>
  <c r="AA24" i="36"/>
  <c r="L24" i="36"/>
  <c r="N24" i="36"/>
  <c r="R24" i="31"/>
  <c r="F27" i="32"/>
  <c r="O27" i="32"/>
  <c r="P27" i="32" s="1"/>
  <c r="Q27" i="32" s="1"/>
  <c r="AG51" i="36"/>
  <c r="AF51" i="36"/>
  <c r="AI51" i="36" s="1"/>
  <c r="AA53" i="38"/>
  <c r="AM53" i="38"/>
  <c r="Z54" i="38"/>
  <c r="AJ53" i="38"/>
  <c r="AK53" i="38"/>
  <c r="AL53" i="38"/>
  <c r="AC53" i="27"/>
  <c r="AE53" i="27" s="1"/>
  <c r="AH53" i="27" s="1"/>
  <c r="AB53" i="27"/>
  <c r="AD53" i="27" s="1"/>
  <c r="L25" i="37"/>
  <c r="AA25" i="37"/>
  <c r="N25" i="37"/>
  <c r="AC25" i="37"/>
  <c r="AC25" i="27"/>
  <c r="AG26" i="38"/>
  <c r="Y26" i="38"/>
  <c r="Z26" i="38" s="1"/>
  <c r="J26" i="38" s="1"/>
  <c r="AH26" i="38"/>
  <c r="AI26" i="38"/>
  <c r="AF26" i="38"/>
  <c r="AJ26" i="38"/>
  <c r="AE26" i="38"/>
  <c r="S22" i="38"/>
  <c r="S23" i="36"/>
  <c r="R23" i="36"/>
  <c r="A29" i="33"/>
  <c r="B28" i="33"/>
  <c r="C28" i="33" s="1"/>
  <c r="E28" i="33"/>
  <c r="D28" i="33"/>
  <c r="G28" i="33"/>
  <c r="U21" i="35"/>
  <c r="R25" i="34"/>
  <c r="AF52" i="35"/>
  <c r="AI52" i="35" s="1"/>
  <c r="AG52" i="35"/>
  <c r="B29" i="38"/>
  <c r="C29" i="38" s="1"/>
  <c r="AQ29" i="38"/>
  <c r="AR29" i="38"/>
  <c r="A30" i="38"/>
  <c r="D29" i="38"/>
  <c r="E29" i="38"/>
  <c r="AO29" i="38"/>
  <c r="AP29" i="38"/>
  <c r="G29" i="38"/>
  <c r="S22" i="32"/>
  <c r="T22" i="32" s="1"/>
  <c r="AC24" i="36"/>
  <c r="M24" i="36" s="1"/>
  <c r="AK27" i="27"/>
  <c r="H27" i="27"/>
  <c r="I27" i="27" s="1"/>
  <c r="AC51" i="37"/>
  <c r="AE51" i="37" s="1"/>
  <c r="AH51" i="37" s="1"/>
  <c r="AB51" i="37"/>
  <c r="AD51" i="37" s="1"/>
  <c r="AB25" i="27"/>
  <c r="K25" i="27" s="1"/>
  <c r="U23" i="38"/>
  <c r="T23" i="38"/>
  <c r="AK27" i="31"/>
  <c r="H27" i="31"/>
  <c r="I27" i="31" s="1"/>
  <c r="AB52" i="33"/>
  <c r="AD52" i="33" s="1"/>
  <c r="AC52" i="33"/>
  <c r="AE52" i="33" s="1"/>
  <c r="AH52" i="33" s="1"/>
  <c r="AD24" i="33"/>
  <c r="AF50" i="37"/>
  <c r="AI50" i="37" s="1"/>
  <c r="AG50" i="37"/>
  <c r="AG25" i="36"/>
  <c r="Y25" i="36"/>
  <c r="Z25" i="36" s="1"/>
  <c r="J25" i="36" s="1"/>
  <c r="AE25" i="36"/>
  <c r="AJ25" i="36"/>
  <c r="AF25" i="36"/>
  <c r="AH25" i="36"/>
  <c r="AI25" i="36"/>
  <c r="AD25" i="36" s="1"/>
  <c r="AB24" i="33"/>
  <c r="K24" i="33" s="1"/>
  <c r="O28" i="37"/>
  <c r="P28" i="37" s="1"/>
  <c r="Q28" i="37" s="1"/>
  <c r="F28" i="37"/>
  <c r="S21" i="32"/>
  <c r="AH26" i="27"/>
  <c r="AI26" i="27"/>
  <c r="AG26" i="27"/>
  <c r="AC26" i="27" s="1"/>
  <c r="AJ26" i="27"/>
  <c r="AF26" i="27"/>
  <c r="Y26" i="27"/>
  <c r="Z26" i="27" s="1"/>
  <c r="J26" i="27" s="1"/>
  <c r="AE26" i="27"/>
  <c r="AB26" i="27" s="1"/>
  <c r="K26" i="27" s="1"/>
  <c r="V20" i="39"/>
  <c r="W20" i="39"/>
  <c r="V21" i="31"/>
  <c r="W21" i="31"/>
  <c r="H27" i="37"/>
  <c r="I27" i="37" s="1"/>
  <c r="AK27" i="37"/>
  <c r="AC55" i="31"/>
  <c r="AE55" i="31" s="1"/>
  <c r="AH55" i="31" s="1"/>
  <c r="AB55" i="31"/>
  <c r="AD55" i="31" s="1"/>
  <c r="F28" i="27"/>
  <c r="O28" i="27"/>
  <c r="P28" i="27" s="1"/>
  <c r="Q28" i="27" s="1"/>
  <c r="S22" i="33"/>
  <c r="T22" i="33" s="1"/>
  <c r="H26" i="36"/>
  <c r="I26" i="36" s="1"/>
  <c r="AK26" i="36"/>
  <c r="AC53" i="39"/>
  <c r="AE53" i="39" s="1"/>
  <c r="AH53" i="39" s="1"/>
  <c r="AB53" i="39"/>
  <c r="AD53" i="39" s="1"/>
  <c r="F27" i="36"/>
  <c r="O27" i="36"/>
  <c r="P27" i="36" s="1"/>
  <c r="Q27" i="36" s="1"/>
  <c r="V20" i="32"/>
  <c r="W20" i="32"/>
  <c r="AF54" i="31"/>
  <c r="AI54" i="31" s="1"/>
  <c r="AG54" i="31"/>
  <c r="R22" i="35"/>
  <c r="S22" i="35" s="1"/>
  <c r="M25" i="34"/>
  <c r="AC52" i="38"/>
  <c r="AE52" i="38" s="1"/>
  <c r="AH52" i="38" s="1"/>
  <c r="AB52" i="38"/>
  <c r="AD52" i="38" s="1"/>
  <c r="AC25" i="38"/>
  <c r="M25" i="38" s="1"/>
  <c r="B30" i="34"/>
  <c r="C30" i="34" s="1"/>
  <c r="AO30" i="34"/>
  <c r="A31" i="34"/>
  <c r="AP30" i="34"/>
  <c r="AR30" i="34"/>
  <c r="AQ30" i="34"/>
  <c r="E30" i="34"/>
  <c r="D30" i="34"/>
  <c r="G30" i="34"/>
  <c r="D29" i="37"/>
  <c r="E29" i="37"/>
  <c r="B29" i="37"/>
  <c r="C29" i="37" s="1"/>
  <c r="AR29" i="37"/>
  <c r="A30" i="37"/>
  <c r="AO29" i="37"/>
  <c r="AP29" i="37"/>
  <c r="AQ29" i="37"/>
  <c r="G29" i="37"/>
  <c r="F27" i="35"/>
  <c r="O27" i="35"/>
  <c r="P27" i="35" s="1"/>
  <c r="Q27" i="35" s="1"/>
  <c r="AJ25" i="35"/>
  <c r="Y25" i="35"/>
  <c r="Z25" i="35" s="1"/>
  <c r="J25" i="35" s="1"/>
  <c r="AI25" i="35"/>
  <c r="AD25" i="35" s="1"/>
  <c r="AG25" i="35"/>
  <c r="AC25" i="35" s="1"/>
  <c r="AF25" i="35"/>
  <c r="AH25" i="35"/>
  <c r="AE25" i="35"/>
  <c r="AB25" i="35" s="1"/>
  <c r="AA25" i="39"/>
  <c r="L25" i="39"/>
  <c r="N25" i="39"/>
  <c r="U22" i="32"/>
  <c r="F28" i="39"/>
  <c r="O28" i="39"/>
  <c r="P28" i="39" s="1"/>
  <c r="Q28" i="39" s="1"/>
  <c r="AK26" i="33"/>
  <c r="H26" i="33"/>
  <c r="I26" i="33" s="1"/>
  <c r="AG51" i="33"/>
  <c r="AF51" i="33"/>
  <c r="AI51" i="33" s="1"/>
  <c r="R23" i="39"/>
  <c r="S23" i="39" s="1"/>
  <c r="T22" i="38"/>
  <c r="AO29" i="39"/>
  <c r="AP29" i="39"/>
  <c r="AQ29" i="39"/>
  <c r="A30" i="39"/>
  <c r="B29" i="39"/>
  <c r="C29" i="39" s="1"/>
  <c r="D29" i="39"/>
  <c r="E29" i="39"/>
  <c r="AR29" i="39"/>
  <c r="G29" i="39"/>
  <c r="R23" i="32"/>
  <c r="S22" i="37"/>
  <c r="S23" i="27"/>
  <c r="U23" i="27" s="1"/>
  <c r="R23" i="27"/>
  <c r="AA54" i="35"/>
  <c r="AM54" i="35"/>
  <c r="Z55" i="35"/>
  <c r="AJ54" i="35"/>
  <c r="AK54" i="35"/>
  <c r="AL54" i="35"/>
  <c r="AB25" i="31"/>
  <c r="K25" i="31" s="1"/>
  <c r="S21" i="36"/>
  <c r="T21" i="36" s="1"/>
  <c r="AJ53" i="32"/>
  <c r="AK53" i="32"/>
  <c r="AA53" i="32"/>
  <c r="Z54" i="32"/>
  <c r="AL53" i="32"/>
  <c r="AM53" i="32"/>
  <c r="T23" i="31"/>
  <c r="U23" i="31"/>
  <c r="AC25" i="39"/>
  <c r="M25" i="39" s="1"/>
  <c r="H26" i="32"/>
  <c r="I26" i="32" s="1"/>
  <c r="AK26" i="32"/>
  <c r="F29" i="34"/>
  <c r="O29" i="34"/>
  <c r="P29" i="34" s="1"/>
  <c r="Q29" i="34" s="1"/>
  <c r="T21" i="33"/>
  <c r="U21" i="33"/>
  <c r="AD24" i="32"/>
  <c r="AB53" i="35"/>
  <c r="AD53" i="35" s="1"/>
  <c r="AC53" i="35"/>
  <c r="AE53" i="35" s="1"/>
  <c r="AH53" i="35" s="1"/>
  <c r="L25" i="27"/>
  <c r="AA25" i="27"/>
  <c r="N25" i="27"/>
  <c r="S22" i="27"/>
  <c r="T22" i="27" s="1"/>
  <c r="L26" i="34"/>
  <c r="AA26" i="34"/>
  <c r="N26" i="34"/>
  <c r="L23" i="35"/>
  <c r="AA23" i="35"/>
  <c r="N23" i="35"/>
  <c r="AF26" i="39"/>
  <c r="AE26" i="39"/>
  <c r="AB26" i="39" s="1"/>
  <c r="AG26" i="39"/>
  <c r="AJ26" i="39"/>
  <c r="Y26" i="39"/>
  <c r="Z26" i="39" s="1"/>
  <c r="J26" i="39" s="1"/>
  <c r="AI26" i="39"/>
  <c r="AD26" i="39" s="1"/>
  <c r="AH26" i="39"/>
  <c r="U22" i="36"/>
  <c r="T22" i="36"/>
  <c r="U22" i="27"/>
  <c r="AD25" i="38"/>
  <c r="B29" i="27"/>
  <c r="C29" i="27" s="1"/>
  <c r="AO29" i="27"/>
  <c r="D29" i="27"/>
  <c r="E29" i="27"/>
  <c r="G29" i="27"/>
  <c r="AP29" i="27"/>
  <c r="AQ29" i="27"/>
  <c r="AR29" i="27"/>
  <c r="A30" i="27"/>
  <c r="Z57" i="31"/>
  <c r="AA56" i="31"/>
  <c r="AJ56" i="31"/>
  <c r="AK56" i="31"/>
  <c r="AL56" i="31"/>
  <c r="AM56" i="31"/>
  <c r="AK28" i="34"/>
  <c r="H28" i="34"/>
  <c r="AC24" i="35"/>
  <c r="M24" i="35" s="1"/>
  <c r="AF51" i="32"/>
  <c r="AI51" i="32" s="1"/>
  <c r="AG51" i="32"/>
  <c r="F27" i="33"/>
  <c r="O27" i="33"/>
  <c r="P27" i="33" s="1"/>
  <c r="Q27" i="33" s="1"/>
  <c r="H27" i="38"/>
  <c r="I27" i="38" s="1"/>
  <c r="AK27" i="38"/>
  <c r="AA24" i="37"/>
  <c r="L24" i="37"/>
  <c r="N24" i="37"/>
  <c r="F28" i="31"/>
  <c r="O28" i="31"/>
  <c r="P28" i="31" s="1"/>
  <c r="Q28" i="31" s="1"/>
  <c r="AK52" i="37"/>
  <c r="AL52" i="37"/>
  <c r="AM52" i="37"/>
  <c r="AA52" i="37"/>
  <c r="AJ52" i="37"/>
  <c r="Z53" i="37"/>
  <c r="AB24" i="36"/>
  <c r="K24" i="36" s="1"/>
  <c r="M24" i="31"/>
  <c r="H27" i="39"/>
  <c r="I27" i="39" s="1"/>
  <c r="AK27" i="39"/>
  <c r="T21" i="35"/>
  <c r="AA24" i="39"/>
  <c r="L24" i="39"/>
  <c r="N24" i="39"/>
  <c r="AL54" i="27"/>
  <c r="AM54" i="27"/>
  <c r="AA54" i="27"/>
  <c r="AK54" i="27"/>
  <c r="Z55" i="27"/>
  <c r="AJ54" i="27"/>
  <c r="AF52" i="39"/>
  <c r="AI52" i="39" s="1"/>
  <c r="AG52" i="39"/>
  <c r="G28" i="35"/>
  <c r="A29" i="35"/>
  <c r="E28" i="35"/>
  <c r="D28" i="35"/>
  <c r="B28" i="35"/>
  <c r="C28" i="35" s="1"/>
  <c r="M25" i="31"/>
  <c r="V20" i="31"/>
  <c r="W20" i="31"/>
  <c r="AL53" i="33"/>
  <c r="AA53" i="33"/>
  <c r="Z54" i="33"/>
  <c r="AJ53" i="33"/>
  <c r="AK53" i="33"/>
  <c r="AM53" i="33"/>
  <c r="T22" i="39"/>
  <c r="AM53" i="36"/>
  <c r="AJ53" i="36"/>
  <c r="AK53" i="36"/>
  <c r="AL53" i="36"/>
  <c r="AA53" i="36"/>
  <c r="Z54" i="36"/>
  <c r="S23" i="38"/>
  <c r="AI26" i="31"/>
  <c r="AG26" i="31"/>
  <c r="AF26" i="31"/>
  <c r="AJ26" i="31"/>
  <c r="Y26" i="31"/>
  <c r="Z26" i="31" s="1"/>
  <c r="J26" i="31" s="1"/>
  <c r="AH26" i="31"/>
  <c r="AE26" i="31"/>
  <c r="AB26" i="31" s="1"/>
  <c r="K26" i="31" s="1"/>
  <c r="AB25" i="38"/>
  <c r="K25" i="38" s="1"/>
  <c r="AF25" i="32"/>
  <c r="AJ25" i="32"/>
  <c r="AE25" i="32"/>
  <c r="AB25" i="32" s="1"/>
  <c r="Y25" i="32"/>
  <c r="Z25" i="32" s="1"/>
  <c r="J25" i="32" s="1"/>
  <c r="AG25" i="32"/>
  <c r="AI25" i="32"/>
  <c r="AD25" i="32" s="1"/>
  <c r="AH25" i="32"/>
  <c r="R24" i="34"/>
  <c r="AM54" i="39"/>
  <c r="AA54" i="39"/>
  <c r="AL54" i="39"/>
  <c r="AJ54" i="39"/>
  <c r="AK54" i="39"/>
  <c r="Z55" i="39"/>
  <c r="AB25" i="37"/>
  <c r="K25" i="37" s="1"/>
  <c r="B28" i="32"/>
  <c r="C28" i="32" s="1"/>
  <c r="E28" i="32"/>
  <c r="A29" i="32"/>
  <c r="G28" i="32"/>
  <c r="D28" i="32"/>
  <c r="K25" i="39"/>
  <c r="Y26" i="37"/>
  <c r="Z26" i="37" s="1"/>
  <c r="J26" i="37" s="1"/>
  <c r="AE26" i="37"/>
  <c r="AB26" i="37" s="1"/>
  <c r="K26" i="37" s="1"/>
  <c r="AH26" i="37"/>
  <c r="AG26" i="37"/>
  <c r="AC26" i="37" s="1"/>
  <c r="M26" i="37" s="1"/>
  <c r="AJ26" i="37"/>
  <c r="AF26" i="37"/>
  <c r="AI26" i="37"/>
  <c r="AF52" i="27"/>
  <c r="AI52" i="27" s="1"/>
  <c r="AG52" i="27"/>
  <c r="AA24" i="27"/>
  <c r="L24" i="27"/>
  <c r="N24" i="27"/>
  <c r="AG50" i="34"/>
  <c r="AF50" i="34"/>
  <c r="AI50" i="34" s="1"/>
  <c r="AH27" i="34"/>
  <c r="AF27" i="34"/>
  <c r="AE27" i="34"/>
  <c r="AB27" i="34" s="1"/>
  <c r="K27" i="34" s="1"/>
  <c r="AJ27" i="34"/>
  <c r="Y27" i="34"/>
  <c r="Z27" i="34" s="1"/>
  <c r="J27" i="34" s="1"/>
  <c r="AG27" i="34"/>
  <c r="AI27" i="34"/>
  <c r="AD27" i="34" s="1"/>
  <c r="AR29" i="31"/>
  <c r="A30" i="31"/>
  <c r="B29" i="31"/>
  <c r="C29" i="31" s="1"/>
  <c r="G29" i="31"/>
  <c r="AO29" i="31"/>
  <c r="AP29" i="31"/>
  <c r="AQ29" i="31"/>
  <c r="D29" i="31"/>
  <c r="E29" i="31"/>
  <c r="U23" i="36"/>
  <c r="AG51" i="38"/>
  <c r="AF51" i="38"/>
  <c r="AI51" i="38" s="1"/>
  <c r="AB51" i="34"/>
  <c r="AD51" i="34" s="1"/>
  <c r="AC51" i="34"/>
  <c r="AE51" i="34" s="1"/>
  <c r="AH51" i="34" s="1"/>
  <c r="U23" i="37"/>
  <c r="M24" i="37"/>
  <c r="AK26" i="35"/>
  <c r="H26" i="35"/>
  <c r="I26" i="35" s="1"/>
  <c r="L23" i="33"/>
  <c r="AA23" i="33"/>
  <c r="N23" i="33"/>
  <c r="D28" i="36"/>
  <c r="E28" i="36"/>
  <c r="B28" i="36"/>
  <c r="C28" i="36" s="1"/>
  <c r="A29" i="36"/>
  <c r="G28" i="36"/>
  <c r="M24" i="32" l="1"/>
  <c r="U22" i="35"/>
  <c r="V22" i="27"/>
  <c r="W22" i="27"/>
  <c r="V22" i="33"/>
  <c r="W22" i="33"/>
  <c r="U23" i="39"/>
  <c r="U24" i="31"/>
  <c r="V22" i="32"/>
  <c r="W22" i="32"/>
  <c r="AB54" i="39"/>
  <c r="AD54" i="39" s="1"/>
  <c r="AC54" i="39"/>
  <c r="AE54" i="39" s="1"/>
  <c r="AH54" i="39" s="1"/>
  <c r="AR30" i="37"/>
  <c r="A31" i="37"/>
  <c r="AO30" i="37"/>
  <c r="B30" i="37"/>
  <c r="C30" i="37" s="1"/>
  <c r="AP30" i="37"/>
  <c r="AQ30" i="37"/>
  <c r="D30" i="37"/>
  <c r="E30" i="37"/>
  <c r="G30" i="37"/>
  <c r="AB56" i="31"/>
  <c r="AD56" i="31" s="1"/>
  <c r="AC56" i="31"/>
  <c r="AE56" i="31" s="1"/>
  <c r="AH56" i="31" s="1"/>
  <c r="R24" i="38"/>
  <c r="L25" i="33"/>
  <c r="AA25" i="33"/>
  <c r="N25" i="33"/>
  <c r="AF53" i="27"/>
  <c r="AI53" i="27" s="1"/>
  <c r="AG53" i="27"/>
  <c r="L25" i="38"/>
  <c r="AA25" i="38"/>
  <c r="N25" i="38"/>
  <c r="F28" i="36"/>
  <c r="O28" i="36"/>
  <c r="P28" i="36" s="1"/>
  <c r="Q28" i="36" s="1"/>
  <c r="V22" i="38"/>
  <c r="W22" i="38"/>
  <c r="AL57" i="31"/>
  <c r="AM57" i="31"/>
  <c r="AJ57" i="31"/>
  <c r="AK57" i="31"/>
  <c r="AA57" i="31"/>
  <c r="Z58" i="31"/>
  <c r="G30" i="27"/>
  <c r="AQ30" i="27"/>
  <c r="AR30" i="27"/>
  <c r="A31" i="27"/>
  <c r="E30" i="27"/>
  <c r="AO30" i="27"/>
  <c r="B30" i="27"/>
  <c r="C30" i="27" s="1"/>
  <c r="AP30" i="27"/>
  <c r="D30" i="27"/>
  <c r="S23" i="32"/>
  <c r="U23" i="32" s="1"/>
  <c r="AF26" i="32"/>
  <c r="AH26" i="32"/>
  <c r="AE26" i="32"/>
  <c r="Y26" i="32"/>
  <c r="Z26" i="32" s="1"/>
  <c r="J26" i="32" s="1"/>
  <c r="AI26" i="32"/>
  <c r="AJ26" i="32"/>
  <c r="AG26" i="32"/>
  <c r="AC26" i="32" s="1"/>
  <c r="V23" i="34"/>
  <c r="W23" i="34"/>
  <c r="AC54" i="27"/>
  <c r="AE54" i="27" s="1"/>
  <c r="AH54" i="27" s="1"/>
  <c r="AB54" i="27"/>
  <c r="AD54" i="27" s="1"/>
  <c r="Y27" i="39"/>
  <c r="Z27" i="39" s="1"/>
  <c r="J27" i="39" s="1"/>
  <c r="AF27" i="39"/>
  <c r="AH27" i="39"/>
  <c r="AG27" i="39"/>
  <c r="AC27" i="39" s="1"/>
  <c r="AJ27" i="39"/>
  <c r="AI27" i="39"/>
  <c r="AD27" i="39" s="1"/>
  <c r="AE27" i="39"/>
  <c r="AA24" i="33"/>
  <c r="L24" i="33"/>
  <c r="N24" i="33"/>
  <c r="AG51" i="37"/>
  <c r="AF51" i="37"/>
  <c r="AI51" i="37" s="1"/>
  <c r="U22" i="33"/>
  <c r="S24" i="31"/>
  <c r="AK53" i="34"/>
  <c r="AL53" i="34"/>
  <c r="Z54" i="34"/>
  <c r="AM53" i="34"/>
  <c r="AA53" i="34"/>
  <c r="AJ53" i="34"/>
  <c r="T24" i="31"/>
  <c r="V23" i="38"/>
  <c r="W23" i="38"/>
  <c r="L25" i="35"/>
  <c r="AA25" i="35"/>
  <c r="N25" i="35"/>
  <c r="H28" i="37"/>
  <c r="AK28" i="37"/>
  <c r="AK28" i="39"/>
  <c r="H28" i="39"/>
  <c r="S23" i="33"/>
  <c r="R23" i="33"/>
  <c r="U23" i="33" s="1"/>
  <c r="H27" i="33"/>
  <c r="I27" i="33" s="1"/>
  <c r="AK27" i="33"/>
  <c r="AK28" i="27"/>
  <c r="H28" i="27"/>
  <c r="T22" i="37"/>
  <c r="K25" i="33"/>
  <c r="M25" i="33" s="1"/>
  <c r="AC53" i="36"/>
  <c r="AE53" i="36" s="1"/>
  <c r="AH53" i="36" s="1"/>
  <c r="AB53" i="36"/>
  <c r="AD53" i="36" s="1"/>
  <c r="R24" i="37"/>
  <c r="S24" i="37" s="1"/>
  <c r="AJ54" i="32"/>
  <c r="AK54" i="32"/>
  <c r="Z55" i="32"/>
  <c r="AA54" i="32"/>
  <c r="AL54" i="32"/>
  <c r="AM54" i="32"/>
  <c r="AF52" i="36"/>
  <c r="AI52" i="36" s="1"/>
  <c r="AG52" i="36"/>
  <c r="L27" i="34"/>
  <c r="AA27" i="34"/>
  <c r="N27" i="34"/>
  <c r="AJ55" i="39"/>
  <c r="AK55" i="39"/>
  <c r="AL55" i="39"/>
  <c r="AM55" i="39"/>
  <c r="AA55" i="39"/>
  <c r="Z56" i="39"/>
  <c r="K25" i="32"/>
  <c r="AC53" i="33"/>
  <c r="AE53" i="33" s="1"/>
  <c r="AH53" i="33" s="1"/>
  <c r="AB53" i="33"/>
  <c r="AD53" i="33" s="1"/>
  <c r="AC26" i="39"/>
  <c r="AC53" i="32"/>
  <c r="AE53" i="32" s="1"/>
  <c r="AH53" i="32" s="1"/>
  <c r="AB53" i="32"/>
  <c r="AD53" i="32" s="1"/>
  <c r="AA55" i="35"/>
  <c r="AJ55" i="35"/>
  <c r="AK55" i="35"/>
  <c r="AL55" i="35"/>
  <c r="AM55" i="35"/>
  <c r="Z56" i="35"/>
  <c r="R25" i="39"/>
  <c r="S25" i="39" s="1"/>
  <c r="AB25" i="36"/>
  <c r="K25" i="36" s="1"/>
  <c r="F29" i="38"/>
  <c r="O29" i="38"/>
  <c r="P29" i="38" s="1"/>
  <c r="Q29" i="38" s="1"/>
  <c r="T23" i="36"/>
  <c r="M25" i="37"/>
  <c r="AM54" i="38"/>
  <c r="AA54" i="38"/>
  <c r="Z55" i="38"/>
  <c r="AK54" i="38"/>
  <c r="AL54" i="38"/>
  <c r="AJ54" i="38"/>
  <c r="V22" i="31"/>
  <c r="W22" i="31"/>
  <c r="F29" i="31"/>
  <c r="O29" i="31"/>
  <c r="P29" i="31" s="1"/>
  <c r="Q29" i="31" s="1"/>
  <c r="T23" i="27"/>
  <c r="AJ55" i="27"/>
  <c r="AK55" i="27"/>
  <c r="AL55" i="27"/>
  <c r="AA55" i="27"/>
  <c r="Z56" i="27"/>
  <c r="AM55" i="27"/>
  <c r="V22" i="36"/>
  <c r="W22" i="36"/>
  <c r="AD26" i="38"/>
  <c r="S24" i="34"/>
  <c r="U24" i="34" s="1"/>
  <c r="T21" i="32"/>
  <c r="H27" i="36"/>
  <c r="I27" i="36" s="1"/>
  <c r="AK27" i="36"/>
  <c r="AA26" i="39"/>
  <c r="L26" i="39"/>
  <c r="N26" i="39"/>
  <c r="T23" i="39"/>
  <c r="R24" i="27"/>
  <c r="S24" i="27" s="1"/>
  <c r="I28" i="34"/>
  <c r="AR28" i="34"/>
  <c r="AQ28" i="34"/>
  <c r="D29" i="36"/>
  <c r="B29" i="36"/>
  <c r="C29" i="36" s="1"/>
  <c r="A30" i="36"/>
  <c r="E29" i="36"/>
  <c r="AR29" i="36"/>
  <c r="AQ29" i="36"/>
  <c r="AO29" i="36"/>
  <c r="AP29" i="36"/>
  <c r="G29" i="36"/>
  <c r="R24" i="39"/>
  <c r="AG27" i="38"/>
  <c r="AE27" i="38"/>
  <c r="AF27" i="38"/>
  <c r="AJ27" i="38"/>
  <c r="AH27" i="38"/>
  <c r="Y27" i="38"/>
  <c r="Z27" i="38" s="1"/>
  <c r="J27" i="38" s="1"/>
  <c r="AI27" i="38"/>
  <c r="AD27" i="38" s="1"/>
  <c r="F29" i="27"/>
  <c r="O29" i="27"/>
  <c r="P29" i="27" s="1"/>
  <c r="Q29" i="27" s="1"/>
  <c r="K26" i="39"/>
  <c r="R25" i="27"/>
  <c r="V21" i="33"/>
  <c r="W21" i="33"/>
  <c r="B30" i="39"/>
  <c r="C30" i="39" s="1"/>
  <c r="AO30" i="39"/>
  <c r="AP30" i="39"/>
  <c r="D30" i="39"/>
  <c r="AQ30" i="39"/>
  <c r="E30" i="39"/>
  <c r="AR30" i="39"/>
  <c r="A31" i="39"/>
  <c r="G30" i="39"/>
  <c r="Y26" i="33"/>
  <c r="Z26" i="33" s="1"/>
  <c r="J26" i="33" s="1"/>
  <c r="AF26" i="33"/>
  <c r="AI26" i="33"/>
  <c r="AG26" i="33"/>
  <c r="AJ26" i="33"/>
  <c r="AE26" i="33"/>
  <c r="AB26" i="33" s="1"/>
  <c r="K26" i="33" s="1"/>
  <c r="AH26" i="33"/>
  <c r="K25" i="35"/>
  <c r="M25" i="35" s="1"/>
  <c r="M26" i="27"/>
  <c r="E30" i="38"/>
  <c r="AO30" i="38"/>
  <c r="AP30" i="38"/>
  <c r="AR30" i="38"/>
  <c r="D30" i="38"/>
  <c r="A31" i="38"/>
  <c r="AQ30" i="38"/>
  <c r="B30" i="38"/>
  <c r="C30" i="38" s="1"/>
  <c r="G30" i="38"/>
  <c r="F28" i="33"/>
  <c r="O28" i="33"/>
  <c r="P28" i="33" s="1"/>
  <c r="Q28" i="33" s="1"/>
  <c r="T22" i="35"/>
  <c r="R24" i="36"/>
  <c r="AC52" i="34"/>
  <c r="AE52" i="34" s="1"/>
  <c r="AH52" i="34" s="1"/>
  <c r="AB52" i="34"/>
  <c r="AD52" i="34" s="1"/>
  <c r="H28" i="38"/>
  <c r="AK28" i="38"/>
  <c r="V21" i="36"/>
  <c r="W21" i="36"/>
  <c r="R24" i="35"/>
  <c r="S24" i="35" s="1"/>
  <c r="R23" i="35"/>
  <c r="AP29" i="33"/>
  <c r="D29" i="33"/>
  <c r="AQ29" i="33"/>
  <c r="B29" i="33"/>
  <c r="C29" i="33" s="1"/>
  <c r="E29" i="33"/>
  <c r="AO29" i="33"/>
  <c r="A30" i="33"/>
  <c r="G29" i="33"/>
  <c r="AR29" i="33"/>
  <c r="V22" i="39"/>
  <c r="W22" i="39"/>
  <c r="AF53" i="35"/>
  <c r="AI53" i="35" s="1"/>
  <c r="AG53" i="35"/>
  <c r="AA25" i="31"/>
  <c r="L25" i="31"/>
  <c r="N25" i="31"/>
  <c r="AK28" i="31"/>
  <c r="H28" i="31"/>
  <c r="AA24" i="32"/>
  <c r="L24" i="32"/>
  <c r="N24" i="32"/>
  <c r="F29" i="37"/>
  <c r="O29" i="37"/>
  <c r="P29" i="37" s="1"/>
  <c r="Q29" i="37" s="1"/>
  <c r="S25" i="34"/>
  <c r="U25" i="34" s="1"/>
  <c r="AA25" i="32"/>
  <c r="L25" i="32"/>
  <c r="N25" i="32"/>
  <c r="R26" i="34"/>
  <c r="AF52" i="38"/>
  <c r="AI52" i="38" s="1"/>
  <c r="AG52" i="38"/>
  <c r="AC26" i="38"/>
  <c r="M26" i="38" s="1"/>
  <c r="B30" i="31"/>
  <c r="C30" i="31" s="1"/>
  <c r="AR30" i="31"/>
  <c r="A31" i="31"/>
  <c r="AO30" i="31"/>
  <c r="AP30" i="31"/>
  <c r="AQ30" i="31"/>
  <c r="D30" i="31"/>
  <c r="E30" i="31"/>
  <c r="G30" i="31"/>
  <c r="U22" i="37"/>
  <c r="AK27" i="35"/>
  <c r="H27" i="35"/>
  <c r="I27" i="35" s="1"/>
  <c r="F30" i="34"/>
  <c r="O30" i="34"/>
  <c r="P30" i="34" s="1"/>
  <c r="Q30" i="34" s="1"/>
  <c r="AG51" i="34"/>
  <c r="AF51" i="34"/>
  <c r="AI51" i="34" s="1"/>
  <c r="F28" i="32"/>
  <c r="O28" i="32"/>
  <c r="P28" i="32" s="1"/>
  <c r="Q28" i="32" s="1"/>
  <c r="AP29" i="35"/>
  <c r="AQ29" i="35"/>
  <c r="AR29" i="35"/>
  <c r="A30" i="35"/>
  <c r="B29" i="35"/>
  <c r="C29" i="35" s="1"/>
  <c r="D29" i="35"/>
  <c r="E29" i="35"/>
  <c r="G29" i="35"/>
  <c r="AO29" i="35"/>
  <c r="M25" i="27"/>
  <c r="AF52" i="32"/>
  <c r="AI52" i="32" s="1"/>
  <c r="AG52" i="32"/>
  <c r="AC27" i="34"/>
  <c r="M27" i="34" s="1"/>
  <c r="AC26" i="31"/>
  <c r="M26" i="31" s="1"/>
  <c r="AD26" i="31"/>
  <c r="M24" i="33"/>
  <c r="AB54" i="35"/>
  <c r="AD54" i="35" s="1"/>
  <c r="AC54" i="35"/>
  <c r="AE54" i="35" s="1"/>
  <c r="AH54" i="35" s="1"/>
  <c r="AE26" i="36"/>
  <c r="AG26" i="36"/>
  <c r="Y26" i="36"/>
  <c r="Z26" i="36" s="1"/>
  <c r="J26" i="36" s="1"/>
  <c r="AJ26" i="36"/>
  <c r="AH26" i="36"/>
  <c r="AI26" i="36"/>
  <c r="AD26" i="36" s="1"/>
  <c r="AF26" i="36"/>
  <c r="AJ27" i="37"/>
  <c r="Y27" i="37"/>
  <c r="Z27" i="37" s="1"/>
  <c r="J27" i="37" s="1"/>
  <c r="AE27" i="37"/>
  <c r="AH27" i="37"/>
  <c r="AI27" i="37"/>
  <c r="AF27" i="37"/>
  <c r="AG27" i="37"/>
  <c r="AC27" i="37" s="1"/>
  <c r="AD26" i="27"/>
  <c r="AC25" i="36"/>
  <c r="AG52" i="33"/>
  <c r="AF52" i="33"/>
  <c r="AI52" i="33" s="1"/>
  <c r="AB53" i="38"/>
  <c r="AD53" i="38" s="1"/>
  <c r="AC53" i="38"/>
  <c r="AE53" i="38" s="1"/>
  <c r="AH53" i="38" s="1"/>
  <c r="U22" i="38"/>
  <c r="F28" i="35"/>
  <c r="O28" i="35"/>
  <c r="P28" i="35" s="1"/>
  <c r="Q28" i="35" s="1"/>
  <c r="V23" i="31"/>
  <c r="W23" i="31"/>
  <c r="L25" i="36"/>
  <c r="AA25" i="36"/>
  <c r="N25" i="36"/>
  <c r="AK27" i="32"/>
  <c r="H27" i="32"/>
  <c r="I27" i="32" s="1"/>
  <c r="AG26" i="35"/>
  <c r="AE26" i="35"/>
  <c r="AH26" i="35"/>
  <c r="AJ26" i="35"/>
  <c r="AI26" i="35"/>
  <c r="AD26" i="35" s="1"/>
  <c r="Y26" i="35"/>
  <c r="Z26" i="35" s="1"/>
  <c r="J26" i="35" s="1"/>
  <c r="AF26" i="35"/>
  <c r="AJ54" i="36"/>
  <c r="AK54" i="36"/>
  <c r="AL54" i="36"/>
  <c r="AM54" i="36"/>
  <c r="Z55" i="36"/>
  <c r="AA54" i="36"/>
  <c r="AF53" i="39"/>
  <c r="AI53" i="39" s="1"/>
  <c r="AG53" i="39"/>
  <c r="AC25" i="32"/>
  <c r="M25" i="32" s="1"/>
  <c r="AG55" i="31"/>
  <c r="AF55" i="31"/>
  <c r="AI55" i="31" s="1"/>
  <c r="AJ54" i="33"/>
  <c r="AA54" i="33"/>
  <c r="Z55" i="33"/>
  <c r="AM54" i="33"/>
  <c r="AK54" i="33"/>
  <c r="AL54" i="33"/>
  <c r="F29" i="39"/>
  <c r="O29" i="39"/>
  <c r="P29" i="39" s="1"/>
  <c r="Q29" i="39" s="1"/>
  <c r="AM53" i="37"/>
  <c r="AA53" i="37"/>
  <c r="Z54" i="37"/>
  <c r="AJ53" i="37"/>
  <c r="AK53" i="37"/>
  <c r="AL53" i="37"/>
  <c r="AD26" i="37"/>
  <c r="AO29" i="32"/>
  <c r="AR29" i="32"/>
  <c r="A30" i="32"/>
  <c r="B29" i="32"/>
  <c r="C29" i="32" s="1"/>
  <c r="D29" i="32"/>
  <c r="E29" i="32"/>
  <c r="AP29" i="32"/>
  <c r="G29" i="32"/>
  <c r="AQ29" i="32"/>
  <c r="V21" i="35"/>
  <c r="W21" i="35"/>
  <c r="AB52" i="37"/>
  <c r="AD52" i="37" s="1"/>
  <c r="AC52" i="37"/>
  <c r="AE52" i="37" s="1"/>
  <c r="AH52" i="37" s="1"/>
  <c r="H29" i="34"/>
  <c r="I29" i="34" s="1"/>
  <c r="AK29" i="34"/>
  <c r="U21" i="36"/>
  <c r="E31" i="34"/>
  <c r="AO31" i="34"/>
  <c r="AP31" i="34"/>
  <c r="A32" i="34"/>
  <c r="AQ31" i="34"/>
  <c r="AR31" i="34"/>
  <c r="D31" i="34"/>
  <c r="B31" i="34"/>
  <c r="C31" i="34" s="1"/>
  <c r="G31" i="34"/>
  <c r="U21" i="32"/>
  <c r="AE27" i="31"/>
  <c r="AG27" i="31"/>
  <c r="Y27" i="31"/>
  <c r="Z27" i="31" s="1"/>
  <c r="J27" i="31" s="1"/>
  <c r="AJ27" i="31"/>
  <c r="AI27" i="31"/>
  <c r="AD27" i="31" s="1"/>
  <c r="AF27" i="31"/>
  <c r="AH27" i="31"/>
  <c r="Y27" i="27"/>
  <c r="Z27" i="27" s="1"/>
  <c r="J27" i="27" s="1"/>
  <c r="AG27" i="27"/>
  <c r="AC27" i="27" s="1"/>
  <c r="AH27" i="27"/>
  <c r="AF27" i="27"/>
  <c r="AJ27" i="27"/>
  <c r="AI27" i="27"/>
  <c r="AE27" i="27"/>
  <c r="AB27" i="27" s="1"/>
  <c r="AB26" i="38"/>
  <c r="K26" i="38" s="1"/>
  <c r="R25" i="37"/>
  <c r="S25" i="37" s="1"/>
  <c r="U24" i="37" l="1"/>
  <c r="T24" i="37"/>
  <c r="T25" i="37"/>
  <c r="F29" i="33"/>
  <c r="O29" i="33"/>
  <c r="P29" i="33" s="1"/>
  <c r="Q29" i="33" s="1"/>
  <c r="AF56" i="31"/>
  <c r="AI56" i="31" s="1"/>
  <c r="AG56" i="31"/>
  <c r="H29" i="27"/>
  <c r="I29" i="27" s="1"/>
  <c r="AK29" i="27"/>
  <c r="I28" i="38"/>
  <c r="AR28" i="38"/>
  <c r="AQ28" i="38"/>
  <c r="L27" i="38"/>
  <c r="AA27" i="38"/>
  <c r="N27" i="38"/>
  <c r="H29" i="31"/>
  <c r="I29" i="31" s="1"/>
  <c r="AK29" i="31"/>
  <c r="AK29" i="38"/>
  <c r="H29" i="38"/>
  <c r="I29" i="38" s="1"/>
  <c r="AF53" i="32"/>
  <c r="AI53" i="32" s="1"/>
  <c r="AG53" i="32"/>
  <c r="F30" i="27"/>
  <c r="O30" i="27"/>
  <c r="P30" i="27" s="1"/>
  <c r="Q30" i="27" s="1"/>
  <c r="Z59" i="31"/>
  <c r="AA58" i="31"/>
  <c r="AJ58" i="31"/>
  <c r="AK58" i="31"/>
  <c r="AL58" i="31"/>
  <c r="AM58" i="31"/>
  <c r="R25" i="33"/>
  <c r="AG28" i="34"/>
  <c r="AC28" i="34" s="1"/>
  <c r="AF28" i="34"/>
  <c r="AE28" i="34"/>
  <c r="AB28" i="34" s="1"/>
  <c r="K28" i="34" s="1"/>
  <c r="AI28" i="34"/>
  <c r="AJ28" i="34"/>
  <c r="AH28" i="34"/>
  <c r="Y28" i="34"/>
  <c r="Z28" i="34" s="1"/>
  <c r="J28" i="34" s="1"/>
  <c r="AP28" i="34"/>
  <c r="AP30" i="32"/>
  <c r="AQ30" i="32"/>
  <c r="B30" i="32"/>
  <c r="C30" i="32" s="1"/>
  <c r="AO30" i="32"/>
  <c r="D30" i="32"/>
  <c r="AR30" i="32"/>
  <c r="A31" i="32"/>
  <c r="E30" i="32"/>
  <c r="G30" i="32"/>
  <c r="F30" i="39"/>
  <c r="O30" i="39"/>
  <c r="P30" i="39" s="1"/>
  <c r="Q30" i="39" s="1"/>
  <c r="AC57" i="31"/>
  <c r="AE57" i="31" s="1"/>
  <c r="AH57" i="31" s="1"/>
  <c r="AB57" i="31"/>
  <c r="AD57" i="31" s="1"/>
  <c r="F30" i="37"/>
  <c r="O30" i="37"/>
  <c r="P30" i="37" s="1"/>
  <c r="Q30" i="37" s="1"/>
  <c r="O29" i="35"/>
  <c r="P29" i="35" s="1"/>
  <c r="Q29" i="35" s="1"/>
  <c r="F29" i="35"/>
  <c r="L26" i="35"/>
  <c r="AA26" i="35"/>
  <c r="N26" i="35"/>
  <c r="D30" i="35"/>
  <c r="E30" i="35"/>
  <c r="AO30" i="35"/>
  <c r="A31" i="35"/>
  <c r="AP30" i="35"/>
  <c r="AQ30" i="35"/>
  <c r="AR30" i="35"/>
  <c r="B30" i="35"/>
  <c r="C30" i="35" s="1"/>
  <c r="G30" i="35"/>
  <c r="A32" i="38"/>
  <c r="B31" i="38"/>
  <c r="C31" i="38" s="1"/>
  <c r="AO31" i="38"/>
  <c r="AP31" i="38"/>
  <c r="D31" i="38"/>
  <c r="AQ31" i="38"/>
  <c r="E31" i="38"/>
  <c r="AR31" i="38"/>
  <c r="G31" i="38"/>
  <c r="T24" i="27"/>
  <c r="AC54" i="32"/>
  <c r="AE54" i="32" s="1"/>
  <c r="AH54" i="32" s="1"/>
  <c r="AB54" i="32"/>
  <c r="AD54" i="32" s="1"/>
  <c r="AD26" i="32"/>
  <c r="T24" i="35"/>
  <c r="AA26" i="38"/>
  <c r="L26" i="38"/>
  <c r="N26" i="38"/>
  <c r="V24" i="31"/>
  <c r="W24" i="31"/>
  <c r="AK55" i="33"/>
  <c r="AA55" i="33"/>
  <c r="AL55" i="33"/>
  <c r="AM55" i="33"/>
  <c r="Z56" i="33"/>
  <c r="AJ55" i="33"/>
  <c r="AB53" i="34"/>
  <c r="AD53" i="34" s="1"/>
  <c r="AC53" i="34"/>
  <c r="AE53" i="34" s="1"/>
  <c r="AH53" i="34" s="1"/>
  <c r="R24" i="33"/>
  <c r="S24" i="38"/>
  <c r="F31" i="34"/>
  <c r="O31" i="34"/>
  <c r="P31" i="34" s="1"/>
  <c r="Q31" i="34" s="1"/>
  <c r="D31" i="31"/>
  <c r="E31" i="31"/>
  <c r="AO31" i="31"/>
  <c r="AR31" i="31"/>
  <c r="A32" i="31"/>
  <c r="G31" i="31"/>
  <c r="AP31" i="31"/>
  <c r="AQ31" i="31"/>
  <c r="B31" i="31"/>
  <c r="C31" i="31" s="1"/>
  <c r="AB55" i="35"/>
  <c r="AD55" i="35" s="1"/>
  <c r="AC55" i="35"/>
  <c r="AE55" i="35" s="1"/>
  <c r="AH55" i="35" s="1"/>
  <c r="AK29" i="37"/>
  <c r="H29" i="37"/>
  <c r="I29" i="37" s="1"/>
  <c r="R24" i="32"/>
  <c r="S24" i="32" s="1"/>
  <c r="T24" i="32" s="1"/>
  <c r="I28" i="31"/>
  <c r="AR28" i="31"/>
  <c r="AQ28" i="31"/>
  <c r="U24" i="27"/>
  <c r="AC27" i="31"/>
  <c r="AC26" i="35"/>
  <c r="M26" i="35" s="1"/>
  <c r="AB26" i="36"/>
  <c r="K26" i="36" s="1"/>
  <c r="S26" i="34"/>
  <c r="D30" i="33"/>
  <c r="E30" i="33"/>
  <c r="G30" i="33"/>
  <c r="AO30" i="33"/>
  <c r="B30" i="33"/>
  <c r="C30" i="33" s="1"/>
  <c r="AP30" i="33"/>
  <c r="AQ30" i="33"/>
  <c r="AR30" i="33"/>
  <c r="A31" i="33"/>
  <c r="U24" i="36"/>
  <c r="T24" i="36"/>
  <c r="AD26" i="33"/>
  <c r="AB27" i="38"/>
  <c r="K27" i="38" s="1"/>
  <c r="F29" i="36"/>
  <c r="O29" i="36"/>
  <c r="P29" i="36" s="1"/>
  <c r="Q29" i="36" s="1"/>
  <c r="V23" i="39"/>
  <c r="W23" i="39"/>
  <c r="V21" i="32"/>
  <c r="W21" i="32"/>
  <c r="M26" i="39"/>
  <c r="I28" i="37"/>
  <c r="AQ28" i="37"/>
  <c r="AR28" i="37"/>
  <c r="AF54" i="27"/>
  <c r="AI54" i="27" s="1"/>
  <c r="AG54" i="27"/>
  <c r="AB26" i="32"/>
  <c r="K26" i="32" s="1"/>
  <c r="M26" i="32" s="1"/>
  <c r="G31" i="27"/>
  <c r="AQ31" i="27"/>
  <c r="D31" i="27"/>
  <c r="AR31" i="27"/>
  <c r="E31" i="27"/>
  <c r="B31" i="27"/>
  <c r="C31" i="27" s="1"/>
  <c r="AO31" i="27"/>
  <c r="AP31" i="27"/>
  <c r="A32" i="27"/>
  <c r="R25" i="38"/>
  <c r="AF54" i="35"/>
  <c r="AI54" i="35" s="1"/>
  <c r="AG54" i="35"/>
  <c r="V23" i="36"/>
  <c r="W23" i="36"/>
  <c r="L26" i="31"/>
  <c r="AA26" i="31"/>
  <c r="N26" i="31"/>
  <c r="AF52" i="37"/>
  <c r="AI52" i="37" s="1"/>
  <c r="AG52" i="37"/>
  <c r="H28" i="35"/>
  <c r="AK28" i="35"/>
  <c r="F30" i="38"/>
  <c r="O30" i="38"/>
  <c r="P30" i="38" s="1"/>
  <c r="Q30" i="38" s="1"/>
  <c r="T25" i="39"/>
  <c r="L26" i="27"/>
  <c r="AA26" i="27"/>
  <c r="N26" i="27"/>
  <c r="AQ30" i="36"/>
  <c r="AR30" i="36"/>
  <c r="A31" i="36"/>
  <c r="B30" i="36"/>
  <c r="C30" i="36" s="1"/>
  <c r="AP30" i="36"/>
  <c r="AO30" i="36"/>
  <c r="D30" i="36"/>
  <c r="E30" i="36"/>
  <c r="G30" i="36"/>
  <c r="AC26" i="36"/>
  <c r="AJ27" i="36"/>
  <c r="Y27" i="36"/>
  <c r="Z27" i="36" s="1"/>
  <c r="J27" i="36" s="1"/>
  <c r="AF27" i="36"/>
  <c r="AE27" i="36"/>
  <c r="AB27" i="36" s="1"/>
  <c r="K27" i="36" s="1"/>
  <c r="AI27" i="36"/>
  <c r="AD27" i="36" s="1"/>
  <c r="AG27" i="36"/>
  <c r="AH27" i="36"/>
  <c r="AA55" i="32"/>
  <c r="AK55" i="32"/>
  <c r="AL55" i="32"/>
  <c r="AM55" i="32"/>
  <c r="Z56" i="32"/>
  <c r="AJ55" i="32"/>
  <c r="K27" i="27"/>
  <c r="M27" i="27" s="1"/>
  <c r="AB54" i="33"/>
  <c r="AD54" i="33" s="1"/>
  <c r="AC54" i="33"/>
  <c r="AE54" i="33" s="1"/>
  <c r="AH54" i="33" s="1"/>
  <c r="AC54" i="36"/>
  <c r="AE54" i="36" s="1"/>
  <c r="AH54" i="36" s="1"/>
  <c r="AB54" i="36"/>
  <c r="AD54" i="36" s="1"/>
  <c r="AD27" i="27"/>
  <c r="AB27" i="31"/>
  <c r="K27" i="31" s="1"/>
  <c r="AK55" i="36"/>
  <c r="AL55" i="36"/>
  <c r="AJ55" i="36"/>
  <c r="AM55" i="36"/>
  <c r="AA55" i="36"/>
  <c r="Z56" i="36"/>
  <c r="Y27" i="32"/>
  <c r="Z27" i="32" s="1"/>
  <c r="J27" i="32" s="1"/>
  <c r="AH27" i="32"/>
  <c r="AI27" i="32"/>
  <c r="AE27" i="32"/>
  <c r="AG27" i="32"/>
  <c r="AC27" i="32" s="1"/>
  <c r="AJ27" i="32"/>
  <c r="AF27" i="32"/>
  <c r="AD27" i="37"/>
  <c r="H28" i="32"/>
  <c r="AK28" i="32"/>
  <c r="F30" i="31"/>
  <c r="O30" i="31"/>
  <c r="P30" i="31" s="1"/>
  <c r="Q30" i="31" s="1"/>
  <c r="T23" i="33"/>
  <c r="S24" i="36"/>
  <c r="AC27" i="38"/>
  <c r="T25" i="34"/>
  <c r="AL55" i="38"/>
  <c r="AM55" i="38"/>
  <c r="AA55" i="38"/>
  <c r="AJ55" i="38"/>
  <c r="AK55" i="38"/>
  <c r="Z56" i="38"/>
  <c r="AJ56" i="35"/>
  <c r="AK56" i="35"/>
  <c r="AL56" i="35"/>
  <c r="AM56" i="35"/>
  <c r="Z57" i="35"/>
  <c r="AA56" i="35"/>
  <c r="AK54" i="34"/>
  <c r="Z55" i="34"/>
  <c r="AJ54" i="34"/>
  <c r="AL54" i="34"/>
  <c r="AM54" i="34"/>
  <c r="AA54" i="34"/>
  <c r="D31" i="37"/>
  <c r="E31" i="37"/>
  <c r="AO31" i="37"/>
  <c r="AP31" i="37"/>
  <c r="A32" i="37"/>
  <c r="AQ31" i="37"/>
  <c r="AR31" i="37"/>
  <c r="B31" i="37"/>
  <c r="C31" i="37" s="1"/>
  <c r="G31" i="37"/>
  <c r="AF53" i="33"/>
  <c r="AI53" i="33" s="1"/>
  <c r="AG53" i="33"/>
  <c r="Y27" i="35"/>
  <c r="Z27" i="35" s="1"/>
  <c r="J27" i="35" s="1"/>
  <c r="AE27" i="35"/>
  <c r="AB27" i="35" s="1"/>
  <c r="K27" i="35" s="1"/>
  <c r="AF27" i="35"/>
  <c r="AG27" i="35"/>
  <c r="AI27" i="35"/>
  <c r="AJ27" i="35"/>
  <c r="AH27" i="35"/>
  <c r="AF54" i="39"/>
  <c r="AI54" i="39" s="1"/>
  <c r="AG54" i="39"/>
  <c r="A33" i="34"/>
  <c r="AO32" i="34"/>
  <c r="AP32" i="34"/>
  <c r="AQ32" i="34"/>
  <c r="AR32" i="34"/>
  <c r="B32" i="34"/>
  <c r="C32" i="34" s="1"/>
  <c r="E32" i="34"/>
  <c r="D32" i="34"/>
  <c r="G32" i="34"/>
  <c r="AG52" i="34"/>
  <c r="AF52" i="34"/>
  <c r="AI52" i="34" s="1"/>
  <c r="L27" i="31"/>
  <c r="AA27" i="31"/>
  <c r="N27" i="31"/>
  <c r="M25" i="36"/>
  <c r="Z57" i="39"/>
  <c r="AJ56" i="39"/>
  <c r="AA56" i="39"/>
  <c r="AK56" i="39"/>
  <c r="AM56" i="39"/>
  <c r="AL56" i="39"/>
  <c r="AC26" i="33"/>
  <c r="M26" i="33" s="1"/>
  <c r="V22" i="35"/>
  <c r="W22" i="35"/>
  <c r="AB54" i="38"/>
  <c r="AD54" i="38" s="1"/>
  <c r="AC54" i="38"/>
  <c r="AE54" i="38" s="1"/>
  <c r="AH54" i="38" s="1"/>
  <c r="V22" i="37"/>
  <c r="W22" i="37"/>
  <c r="S25" i="35"/>
  <c r="R25" i="35"/>
  <c r="AB27" i="39"/>
  <c r="K27" i="39" s="1"/>
  <c r="M27" i="39" s="1"/>
  <c r="T23" i="32"/>
  <c r="AK30" i="34"/>
  <c r="H30" i="34"/>
  <c r="I30" i="34" s="1"/>
  <c r="AA26" i="36"/>
  <c r="L26" i="36"/>
  <c r="N26" i="36"/>
  <c r="S23" i="35"/>
  <c r="U23" i="35" s="1"/>
  <c r="AB26" i="35"/>
  <c r="K26" i="35" s="1"/>
  <c r="U24" i="35"/>
  <c r="AG29" i="34"/>
  <c r="AJ29" i="34"/>
  <c r="AI29" i="34"/>
  <c r="AD29" i="34" s="1"/>
  <c r="AF29" i="34"/>
  <c r="AH29" i="34"/>
  <c r="Y29" i="34"/>
  <c r="Z29" i="34" s="1"/>
  <c r="J29" i="34" s="1"/>
  <c r="AE29" i="34"/>
  <c r="AB29" i="34" s="1"/>
  <c r="K29" i="34" s="1"/>
  <c r="Z55" i="37"/>
  <c r="AK54" i="37"/>
  <c r="AL54" i="37"/>
  <c r="AM54" i="37"/>
  <c r="AJ54" i="37"/>
  <c r="AA54" i="37"/>
  <c r="AB27" i="37"/>
  <c r="K27" i="37" s="1"/>
  <c r="M27" i="37" s="1"/>
  <c r="S25" i="27"/>
  <c r="T25" i="27" s="1"/>
  <c r="S24" i="39"/>
  <c r="T24" i="39" s="1"/>
  <c r="I28" i="27"/>
  <c r="AQ28" i="27"/>
  <c r="AR28" i="27"/>
  <c r="L27" i="39"/>
  <c r="AA27" i="39"/>
  <c r="N27" i="39"/>
  <c r="T24" i="34"/>
  <c r="AF53" i="36"/>
  <c r="AI53" i="36" s="1"/>
  <c r="AG53" i="36"/>
  <c r="Y27" i="33"/>
  <c r="Z27" i="33" s="1"/>
  <c r="J27" i="33" s="1"/>
  <c r="AE27" i="33"/>
  <c r="AG27" i="33"/>
  <c r="AC27" i="33" s="1"/>
  <c r="AH27" i="33"/>
  <c r="AI27" i="33"/>
  <c r="AF27" i="33"/>
  <c r="AJ27" i="33"/>
  <c r="H28" i="36"/>
  <c r="AK28" i="36"/>
  <c r="H29" i="39"/>
  <c r="I29" i="39" s="1"/>
  <c r="AK29" i="39"/>
  <c r="U25" i="37"/>
  <c r="AK56" i="27"/>
  <c r="AL56" i="27"/>
  <c r="AM56" i="27"/>
  <c r="AA56" i="27"/>
  <c r="AJ56" i="27"/>
  <c r="Z57" i="27"/>
  <c r="I28" i="39"/>
  <c r="AQ28" i="39"/>
  <c r="AR28" i="39"/>
  <c r="U25" i="39"/>
  <c r="AB55" i="27"/>
  <c r="AD55" i="27" s="1"/>
  <c r="AC55" i="27"/>
  <c r="AE55" i="27" s="1"/>
  <c r="AH55" i="27" s="1"/>
  <c r="AB55" i="39"/>
  <c r="AD55" i="39" s="1"/>
  <c r="AC55" i="39"/>
  <c r="AE55" i="39" s="1"/>
  <c r="AH55" i="39" s="1"/>
  <c r="L26" i="37"/>
  <c r="AA26" i="37"/>
  <c r="N26" i="37"/>
  <c r="F29" i="32"/>
  <c r="O29" i="32"/>
  <c r="P29" i="32" s="1"/>
  <c r="Q29" i="32" s="1"/>
  <c r="AB53" i="37"/>
  <c r="AD53" i="37" s="1"/>
  <c r="AC53" i="37"/>
  <c r="AE53" i="37" s="1"/>
  <c r="AH53" i="37" s="1"/>
  <c r="R25" i="36"/>
  <c r="S25" i="36" s="1"/>
  <c r="T25" i="36" s="1"/>
  <c r="AF53" i="38"/>
  <c r="AI53" i="38" s="1"/>
  <c r="AG53" i="38"/>
  <c r="R25" i="32"/>
  <c r="R25" i="31"/>
  <c r="S25" i="31" s="1"/>
  <c r="H28" i="33"/>
  <c r="AK28" i="33"/>
  <c r="AP31" i="39"/>
  <c r="B31" i="39"/>
  <c r="C31" i="39" s="1"/>
  <c r="AO31" i="39"/>
  <c r="AQ31" i="39"/>
  <c r="AR31" i="39"/>
  <c r="A32" i="39"/>
  <c r="D31" i="39"/>
  <c r="E31" i="39"/>
  <c r="G31" i="39"/>
  <c r="R26" i="39"/>
  <c r="V23" i="27"/>
  <c r="W23" i="27"/>
  <c r="R27" i="34"/>
  <c r="S27" i="34" s="1"/>
  <c r="T27" i="34" s="1"/>
  <c r="V25" i="27" l="1"/>
  <c r="W25" i="27"/>
  <c r="V25" i="36"/>
  <c r="W25" i="36"/>
  <c r="V27" i="34"/>
  <c r="W27" i="34"/>
  <c r="V24" i="39"/>
  <c r="W24" i="39"/>
  <c r="V24" i="32"/>
  <c r="W24" i="32"/>
  <c r="I28" i="33"/>
  <c r="AR28" i="33"/>
  <c r="AQ28" i="33"/>
  <c r="G31" i="35"/>
  <c r="AQ31" i="35"/>
  <c r="AR31" i="35"/>
  <c r="A32" i="35"/>
  <c r="B31" i="35"/>
  <c r="C31" i="35" s="1"/>
  <c r="D31" i="35"/>
  <c r="AP31" i="35"/>
  <c r="E31" i="35"/>
  <c r="AO31" i="35"/>
  <c r="AG29" i="39"/>
  <c r="AC29" i="39" s="1"/>
  <c r="AI29" i="39"/>
  <c r="AE29" i="39"/>
  <c r="Y29" i="39"/>
  <c r="Z29" i="39" s="1"/>
  <c r="J29" i="39" s="1"/>
  <c r="AJ29" i="39"/>
  <c r="AH29" i="39"/>
  <c r="AF29" i="39"/>
  <c r="AQ31" i="36"/>
  <c r="B31" i="36"/>
  <c r="C31" i="36" s="1"/>
  <c r="AR31" i="36"/>
  <c r="A32" i="36"/>
  <c r="D31" i="36"/>
  <c r="E31" i="36"/>
  <c r="AO31" i="36"/>
  <c r="AP31" i="36"/>
  <c r="G31" i="36"/>
  <c r="Y28" i="38"/>
  <c r="Z28" i="38" s="1"/>
  <c r="J28" i="38" s="1"/>
  <c r="AE28" i="38"/>
  <c r="AI28" i="38"/>
  <c r="AG28" i="38"/>
  <c r="AH28" i="38"/>
  <c r="AF28" i="38"/>
  <c r="AJ28" i="38"/>
  <c r="AP28" i="38"/>
  <c r="H29" i="32"/>
  <c r="I29" i="32" s="1"/>
  <c r="AK29" i="32"/>
  <c r="AB56" i="27"/>
  <c r="AD56" i="27" s="1"/>
  <c r="AC56" i="27"/>
  <c r="AE56" i="27" s="1"/>
  <c r="AH56" i="27" s="1"/>
  <c r="D32" i="37"/>
  <c r="E32" i="37"/>
  <c r="AO32" i="37"/>
  <c r="A33" i="37"/>
  <c r="AQ32" i="37"/>
  <c r="AR32" i="37"/>
  <c r="B32" i="37"/>
  <c r="C32" i="37" s="1"/>
  <c r="AP32" i="37"/>
  <c r="G32" i="37"/>
  <c r="AD28" i="34"/>
  <c r="R26" i="36"/>
  <c r="S25" i="32"/>
  <c r="U25" i="32" s="1"/>
  <c r="AF54" i="32"/>
  <c r="AI54" i="32" s="1"/>
  <c r="AG54" i="32"/>
  <c r="V25" i="37"/>
  <c r="W25" i="37"/>
  <c r="R27" i="39"/>
  <c r="B32" i="38"/>
  <c r="C32" i="38" s="1"/>
  <c r="E32" i="38"/>
  <c r="AO32" i="38"/>
  <c r="AP32" i="38"/>
  <c r="AQ32" i="38"/>
  <c r="AR32" i="38"/>
  <c r="A33" i="38"/>
  <c r="D32" i="38"/>
  <c r="G32" i="38"/>
  <c r="S25" i="33"/>
  <c r="U25" i="36"/>
  <c r="R26" i="38"/>
  <c r="Z60" i="31"/>
  <c r="AM59" i="31"/>
  <c r="AA59" i="31"/>
  <c r="AJ59" i="31"/>
  <c r="AK59" i="31"/>
  <c r="AL59" i="31"/>
  <c r="I28" i="32"/>
  <c r="AQ28" i="32"/>
  <c r="AR28" i="32"/>
  <c r="AA27" i="37"/>
  <c r="L27" i="37"/>
  <c r="N27" i="37"/>
  <c r="D32" i="27"/>
  <c r="A33" i="27"/>
  <c r="E32" i="27"/>
  <c r="G32" i="27"/>
  <c r="AO32" i="27"/>
  <c r="AP32" i="27"/>
  <c r="AQ32" i="27"/>
  <c r="AR32" i="27"/>
  <c r="B32" i="27"/>
  <c r="C32" i="27" s="1"/>
  <c r="F31" i="38"/>
  <c r="O31" i="38"/>
  <c r="P31" i="38" s="1"/>
  <c r="Q31" i="38" s="1"/>
  <c r="I28" i="36"/>
  <c r="AR28" i="36"/>
  <c r="AQ28" i="36"/>
  <c r="AB56" i="39"/>
  <c r="AD56" i="39" s="1"/>
  <c r="AC56" i="39"/>
  <c r="AE56" i="39" s="1"/>
  <c r="AH56" i="39" s="1"/>
  <c r="R26" i="27"/>
  <c r="AE29" i="27"/>
  <c r="Y29" i="27"/>
  <c r="Z29" i="27" s="1"/>
  <c r="J29" i="27" s="1"/>
  <c r="AH29" i="27"/>
  <c r="AF29" i="27"/>
  <c r="AG29" i="27"/>
  <c r="AC29" i="27" s="1"/>
  <c r="AI29" i="27"/>
  <c r="AD29" i="27" s="1"/>
  <c r="AJ29" i="27"/>
  <c r="Y30" i="34"/>
  <c r="Z30" i="34" s="1"/>
  <c r="J30" i="34" s="1"/>
  <c r="AJ30" i="34"/>
  <c r="AG30" i="34"/>
  <c r="AE30" i="34"/>
  <c r="AI30" i="34"/>
  <c r="AD30" i="34" s="1"/>
  <c r="AH30" i="34"/>
  <c r="AF30" i="34"/>
  <c r="AK57" i="39"/>
  <c r="AM57" i="39"/>
  <c r="AA57" i="39"/>
  <c r="AJ57" i="39"/>
  <c r="AL57" i="39"/>
  <c r="Z58" i="39"/>
  <c r="Z58" i="35"/>
  <c r="AM57" i="35"/>
  <c r="AA57" i="35"/>
  <c r="AJ57" i="35"/>
  <c r="AL57" i="35"/>
  <c r="AK57" i="35"/>
  <c r="M27" i="38"/>
  <c r="AD27" i="32"/>
  <c r="V25" i="39"/>
  <c r="W25" i="39"/>
  <c r="H31" i="34"/>
  <c r="I31" i="34" s="1"/>
  <c r="AK31" i="34"/>
  <c r="AF53" i="34"/>
  <c r="AI53" i="34" s="1"/>
  <c r="AG53" i="34"/>
  <c r="U26" i="39"/>
  <c r="T26" i="39"/>
  <c r="H29" i="36"/>
  <c r="I29" i="36" s="1"/>
  <c r="AK29" i="36"/>
  <c r="U24" i="39"/>
  <c r="AF53" i="37"/>
  <c r="AI53" i="37" s="1"/>
  <c r="AG53" i="37"/>
  <c r="U25" i="31"/>
  <c r="AA55" i="34"/>
  <c r="AM55" i="34"/>
  <c r="AK55" i="34"/>
  <c r="AL55" i="34"/>
  <c r="AJ55" i="34"/>
  <c r="Z56" i="34"/>
  <c r="U26" i="34"/>
  <c r="F30" i="35"/>
  <c r="O30" i="35"/>
  <c r="P30" i="35" s="1"/>
  <c r="Q30" i="35" s="1"/>
  <c r="AR32" i="39"/>
  <c r="A33" i="39"/>
  <c r="AO32" i="39"/>
  <c r="AQ32" i="39"/>
  <c r="AP32" i="39"/>
  <c r="B32" i="39"/>
  <c r="C32" i="39" s="1"/>
  <c r="D32" i="39"/>
  <c r="E32" i="39"/>
  <c r="G32" i="39"/>
  <c r="AG55" i="39"/>
  <c r="AF55" i="39"/>
  <c r="AI55" i="39" s="1"/>
  <c r="T25" i="31"/>
  <c r="Z57" i="32"/>
  <c r="AA56" i="32"/>
  <c r="AJ56" i="32"/>
  <c r="AK56" i="32"/>
  <c r="AL56" i="32"/>
  <c r="AM56" i="32"/>
  <c r="AB27" i="32"/>
  <c r="K27" i="32" s="1"/>
  <c r="M27" i="32" s="1"/>
  <c r="AF55" i="35"/>
  <c r="AI55" i="35" s="1"/>
  <c r="AG55" i="35"/>
  <c r="AF55" i="27"/>
  <c r="AI55" i="27" s="1"/>
  <c r="AG55" i="27"/>
  <c r="AC54" i="37"/>
  <c r="AE54" i="37" s="1"/>
  <c r="AH54" i="37" s="1"/>
  <c r="AB54" i="37"/>
  <c r="AD54" i="37" s="1"/>
  <c r="AC29" i="34"/>
  <c r="M29" i="34" s="1"/>
  <c r="AG54" i="36"/>
  <c r="AF54" i="36"/>
  <c r="AI54" i="36" s="1"/>
  <c r="F31" i="27"/>
  <c r="O31" i="27"/>
  <c r="P31" i="27" s="1"/>
  <c r="Q31" i="27" s="1"/>
  <c r="AK29" i="35"/>
  <c r="H29" i="35"/>
  <c r="I29" i="35" s="1"/>
  <c r="H30" i="39"/>
  <c r="I30" i="39" s="1"/>
  <c r="AK30" i="39"/>
  <c r="Y29" i="31"/>
  <c r="Z29" i="31" s="1"/>
  <c r="J29" i="31" s="1"/>
  <c r="AE29" i="31"/>
  <c r="AJ29" i="31"/>
  <c r="AG29" i="31"/>
  <c r="AH29" i="31"/>
  <c r="AF29" i="31"/>
  <c r="AI29" i="31"/>
  <c r="AD29" i="31" s="1"/>
  <c r="V24" i="37"/>
  <c r="W24" i="37"/>
  <c r="T23" i="35"/>
  <c r="S26" i="39"/>
  <c r="AK55" i="37"/>
  <c r="AL55" i="37"/>
  <c r="AM55" i="37"/>
  <c r="Z56" i="37"/>
  <c r="AJ55" i="37"/>
  <c r="AA55" i="37"/>
  <c r="AG54" i="33"/>
  <c r="AF54" i="33"/>
  <c r="AI54" i="33" s="1"/>
  <c r="V24" i="35"/>
  <c r="W24" i="35"/>
  <c r="E31" i="32"/>
  <c r="AO31" i="32"/>
  <c r="G31" i="32"/>
  <c r="AP31" i="32"/>
  <c r="AQ31" i="32"/>
  <c r="AR31" i="32"/>
  <c r="A32" i="32"/>
  <c r="B31" i="32"/>
  <c r="C31" i="32" s="1"/>
  <c r="D31" i="32"/>
  <c r="Y28" i="39"/>
  <c r="Z28" i="39" s="1"/>
  <c r="J28" i="39" s="1"/>
  <c r="AH28" i="39"/>
  <c r="AI28" i="39"/>
  <c r="AD28" i="39" s="1"/>
  <c r="AJ28" i="39"/>
  <c r="AG28" i="39"/>
  <c r="AC28" i="39" s="1"/>
  <c r="AE28" i="39"/>
  <c r="AF28" i="39"/>
  <c r="AP28" i="39"/>
  <c r="L26" i="33"/>
  <c r="AA26" i="33"/>
  <c r="N26" i="33"/>
  <c r="L26" i="32"/>
  <c r="AA26" i="32"/>
  <c r="N26" i="32"/>
  <c r="H30" i="27"/>
  <c r="I30" i="27" s="1"/>
  <c r="AK30" i="27"/>
  <c r="V24" i="34"/>
  <c r="W24" i="34"/>
  <c r="F32" i="34"/>
  <c r="O32" i="34"/>
  <c r="P32" i="34" s="1"/>
  <c r="Q32" i="34" s="1"/>
  <c r="AC55" i="38"/>
  <c r="AE55" i="38" s="1"/>
  <c r="AH55" i="38" s="1"/>
  <c r="AB55" i="38"/>
  <c r="AD55" i="38" s="1"/>
  <c r="R26" i="31"/>
  <c r="S26" i="31" s="1"/>
  <c r="V24" i="36"/>
  <c r="W24" i="36"/>
  <c r="F30" i="32"/>
  <c r="O30" i="32"/>
  <c r="P30" i="32" s="1"/>
  <c r="Q30" i="32" s="1"/>
  <c r="AE28" i="37"/>
  <c r="AF28" i="37"/>
  <c r="Y28" i="37"/>
  <c r="Z28" i="37" s="1"/>
  <c r="J28" i="37" s="1"/>
  <c r="AG28" i="37"/>
  <c r="AC28" i="37" s="1"/>
  <c r="AJ28" i="37"/>
  <c r="AH28" i="37"/>
  <c r="AI28" i="37"/>
  <c r="AD28" i="37" s="1"/>
  <c r="AP28" i="37"/>
  <c r="AD27" i="35"/>
  <c r="AR31" i="33"/>
  <c r="AO31" i="33"/>
  <c r="D31" i="33"/>
  <c r="E31" i="33"/>
  <c r="AP31" i="33"/>
  <c r="AQ31" i="33"/>
  <c r="B31" i="33"/>
  <c r="C31" i="33" s="1"/>
  <c r="A32" i="33"/>
  <c r="G31" i="33"/>
  <c r="F31" i="31"/>
  <c r="O31" i="31"/>
  <c r="P31" i="31" s="1"/>
  <c r="Q31" i="31" s="1"/>
  <c r="AE29" i="38"/>
  <c r="AB29" i="38" s="1"/>
  <c r="K29" i="38" s="1"/>
  <c r="AH29" i="38"/>
  <c r="AI29" i="38"/>
  <c r="AD29" i="38" s="1"/>
  <c r="AJ29" i="38"/>
  <c r="AF29" i="38"/>
  <c r="AG29" i="38"/>
  <c r="Y29" i="38"/>
  <c r="Z29" i="38" s="1"/>
  <c r="J29" i="38" s="1"/>
  <c r="AC27" i="35"/>
  <c r="M27" i="35" s="1"/>
  <c r="V25" i="34"/>
  <c r="W25" i="34"/>
  <c r="U26" i="37"/>
  <c r="AB27" i="33"/>
  <c r="K27" i="33" s="1"/>
  <c r="M27" i="33" s="1"/>
  <c r="V23" i="32"/>
  <c r="W23" i="32"/>
  <c r="F31" i="37"/>
  <c r="O31" i="37"/>
  <c r="P31" i="37" s="1"/>
  <c r="Q31" i="37" s="1"/>
  <c r="V23" i="33"/>
  <c r="W23" i="33"/>
  <c r="AC55" i="32"/>
  <c r="AE55" i="32" s="1"/>
  <c r="AH55" i="32" s="1"/>
  <c r="AB55" i="32"/>
  <c r="AD55" i="32" s="1"/>
  <c r="F30" i="36"/>
  <c r="O30" i="36"/>
  <c r="P30" i="36" s="1"/>
  <c r="Q30" i="36" s="1"/>
  <c r="H30" i="38"/>
  <c r="I30" i="38" s="1"/>
  <c r="AK30" i="38"/>
  <c r="W24" i="27"/>
  <c r="V24" i="27"/>
  <c r="U24" i="32"/>
  <c r="H29" i="33"/>
  <c r="I29" i="33" s="1"/>
  <c r="AK29" i="33"/>
  <c r="Z57" i="38"/>
  <c r="AJ56" i="38"/>
  <c r="AK56" i="38"/>
  <c r="AL56" i="38"/>
  <c r="AM56" i="38"/>
  <c r="AA56" i="38"/>
  <c r="U25" i="38"/>
  <c r="S25" i="38"/>
  <c r="F30" i="33"/>
  <c r="O30" i="33"/>
  <c r="P30" i="33" s="1"/>
  <c r="Q30" i="33" s="1"/>
  <c r="AR32" i="31"/>
  <c r="A33" i="31"/>
  <c r="AP32" i="31"/>
  <c r="AQ32" i="31"/>
  <c r="D32" i="31"/>
  <c r="E32" i="31"/>
  <c r="G32" i="31"/>
  <c r="AO32" i="31"/>
  <c r="B32" i="31"/>
  <c r="C32" i="31" s="1"/>
  <c r="AB55" i="33"/>
  <c r="AD55" i="33" s="1"/>
  <c r="AC55" i="33"/>
  <c r="AE55" i="33" s="1"/>
  <c r="AH55" i="33" s="1"/>
  <c r="AI29" i="37"/>
  <c r="Y29" i="37"/>
  <c r="Z29" i="37" s="1"/>
  <c r="J29" i="37" s="1"/>
  <c r="AE29" i="37"/>
  <c r="AG29" i="37"/>
  <c r="AF29" i="37"/>
  <c r="AJ29" i="37"/>
  <c r="AH29" i="37"/>
  <c r="AL57" i="27"/>
  <c r="AJ57" i="27"/>
  <c r="AK57" i="27"/>
  <c r="AM57" i="27"/>
  <c r="Z58" i="27"/>
  <c r="AA57" i="27"/>
  <c r="S24" i="33"/>
  <c r="T24" i="33" s="1"/>
  <c r="F31" i="39"/>
  <c r="O31" i="39"/>
  <c r="P31" i="39" s="1"/>
  <c r="Q31" i="39" s="1"/>
  <c r="M28" i="34"/>
  <c r="AF54" i="38"/>
  <c r="AI54" i="38" s="1"/>
  <c r="AG54" i="38"/>
  <c r="M26" i="36"/>
  <c r="R26" i="35"/>
  <c r="AD27" i="33"/>
  <c r="AB56" i="35"/>
  <c r="AD56" i="35" s="1"/>
  <c r="AC56" i="35"/>
  <c r="AE56" i="35" s="1"/>
  <c r="AH56" i="35" s="1"/>
  <c r="S26" i="37"/>
  <c r="T26" i="37" s="1"/>
  <c r="R26" i="37"/>
  <c r="AG28" i="27"/>
  <c r="AH28" i="27"/>
  <c r="Y28" i="27"/>
  <c r="Z28" i="27" s="1"/>
  <c r="J28" i="27" s="1"/>
  <c r="AE28" i="27"/>
  <c r="AJ28" i="27"/>
  <c r="AF28" i="27"/>
  <c r="AI28" i="27"/>
  <c r="AD28" i="27" s="1"/>
  <c r="AP28" i="27"/>
  <c r="U25" i="27"/>
  <c r="R27" i="31"/>
  <c r="B33" i="34"/>
  <c r="C33" i="34" s="1"/>
  <c r="AO33" i="34"/>
  <c r="AQ33" i="34"/>
  <c r="AP33" i="34"/>
  <c r="AR33" i="34"/>
  <c r="A34" i="34"/>
  <c r="D33" i="34"/>
  <c r="E33" i="34"/>
  <c r="G33" i="34"/>
  <c r="T25" i="38"/>
  <c r="AK56" i="36"/>
  <c r="AL56" i="36"/>
  <c r="AM56" i="36"/>
  <c r="AJ56" i="36"/>
  <c r="AA56" i="36"/>
  <c r="Z57" i="36"/>
  <c r="AI28" i="31"/>
  <c r="AD28" i="31" s="1"/>
  <c r="AE28" i="31"/>
  <c r="AB28" i="31" s="1"/>
  <c r="K28" i="31" s="1"/>
  <c r="AG28" i="31"/>
  <c r="AC28" i="31" s="1"/>
  <c r="M28" i="31" s="1"/>
  <c r="AJ28" i="31"/>
  <c r="AH28" i="31"/>
  <c r="Y28" i="31"/>
  <c r="Z28" i="31" s="1"/>
  <c r="J28" i="31" s="1"/>
  <c r="AF28" i="31"/>
  <c r="AP28" i="31"/>
  <c r="T24" i="38"/>
  <c r="Z57" i="33"/>
  <c r="AJ56" i="33"/>
  <c r="AK56" i="33"/>
  <c r="AA56" i="33"/>
  <c r="AL56" i="33"/>
  <c r="AM56" i="33"/>
  <c r="R27" i="38"/>
  <c r="T26" i="34"/>
  <c r="AA27" i="36"/>
  <c r="L27" i="36"/>
  <c r="N27" i="36"/>
  <c r="AF57" i="31"/>
  <c r="AI57" i="31" s="1"/>
  <c r="AG57" i="31"/>
  <c r="AA29" i="34"/>
  <c r="L29" i="34"/>
  <c r="N29" i="34"/>
  <c r="AA27" i="27"/>
  <c r="L27" i="27"/>
  <c r="N27" i="27"/>
  <c r="M27" i="31"/>
  <c r="U27" i="34"/>
  <c r="U25" i="35"/>
  <c r="T25" i="35"/>
  <c r="AC54" i="34"/>
  <c r="AE54" i="34" s="1"/>
  <c r="AH54" i="34" s="1"/>
  <c r="AB54" i="34"/>
  <c r="AD54" i="34" s="1"/>
  <c r="AK30" i="31"/>
  <c r="H30" i="31"/>
  <c r="I30" i="31" s="1"/>
  <c r="AB55" i="36"/>
  <c r="AD55" i="36" s="1"/>
  <c r="AC55" i="36"/>
  <c r="AE55" i="36" s="1"/>
  <c r="AH55" i="36" s="1"/>
  <c r="AC27" i="36"/>
  <c r="M27" i="36" s="1"/>
  <c r="I28" i="35"/>
  <c r="AQ28" i="35"/>
  <c r="AR28" i="35"/>
  <c r="H30" i="37"/>
  <c r="I30" i="37" s="1"/>
  <c r="AK30" i="37"/>
  <c r="AC58" i="31"/>
  <c r="AE58" i="31" s="1"/>
  <c r="AH58" i="31" s="1"/>
  <c r="AB58" i="31"/>
  <c r="AD58" i="31" s="1"/>
  <c r="U24" i="38"/>
  <c r="V24" i="33" l="1"/>
  <c r="W24" i="33"/>
  <c r="V26" i="37"/>
  <c r="W26" i="37"/>
  <c r="T26" i="27"/>
  <c r="U26" i="31"/>
  <c r="T26" i="31"/>
  <c r="AE30" i="31"/>
  <c r="AB30" i="31" s="1"/>
  <c r="AG30" i="31"/>
  <c r="AH30" i="31"/>
  <c r="Y30" i="31"/>
  <c r="Z30" i="31" s="1"/>
  <c r="J30" i="31" s="1"/>
  <c r="AJ30" i="31"/>
  <c r="AI30" i="31"/>
  <c r="AD30" i="31" s="1"/>
  <c r="AF30" i="31"/>
  <c r="AB56" i="38"/>
  <c r="AD56" i="38" s="1"/>
  <c r="AC56" i="38"/>
  <c r="AE56" i="38" s="1"/>
  <c r="AH56" i="38" s="1"/>
  <c r="L29" i="38"/>
  <c r="AA29" i="38"/>
  <c r="N29" i="38"/>
  <c r="M29" i="39"/>
  <c r="AC56" i="33"/>
  <c r="AE56" i="33" s="1"/>
  <c r="AH56" i="33" s="1"/>
  <c r="AB56" i="33"/>
  <c r="AD56" i="33" s="1"/>
  <c r="AF29" i="36"/>
  <c r="AJ29" i="36"/>
  <c r="AH29" i="36"/>
  <c r="Y29" i="36"/>
  <c r="Z29" i="36" s="1"/>
  <c r="J29" i="36" s="1"/>
  <c r="AE29" i="36"/>
  <c r="AB29" i="36" s="1"/>
  <c r="K29" i="36" s="1"/>
  <c r="AG29" i="36"/>
  <c r="AC29" i="36" s="1"/>
  <c r="M29" i="36" s="1"/>
  <c r="AI29" i="36"/>
  <c r="AD29" i="36" s="1"/>
  <c r="AB28" i="27"/>
  <c r="K28" i="27" s="1"/>
  <c r="B32" i="32"/>
  <c r="C32" i="32" s="1"/>
  <c r="A33" i="32"/>
  <c r="AO32" i="32"/>
  <c r="AP32" i="32"/>
  <c r="AQ32" i="32"/>
  <c r="AR32" i="32"/>
  <c r="D32" i="32"/>
  <c r="E32" i="32"/>
  <c r="G32" i="32"/>
  <c r="AA28" i="34"/>
  <c r="L28" i="34"/>
  <c r="N28" i="34"/>
  <c r="AB28" i="38"/>
  <c r="K28" i="38" s="1"/>
  <c r="E32" i="35"/>
  <c r="G32" i="35"/>
  <c r="AO32" i="35"/>
  <c r="A33" i="35"/>
  <c r="B32" i="35"/>
  <c r="C32" i="35" s="1"/>
  <c r="AR32" i="35"/>
  <c r="D32" i="35"/>
  <c r="AP32" i="35"/>
  <c r="AQ32" i="35"/>
  <c r="V25" i="31"/>
  <c r="W25" i="31"/>
  <c r="Y28" i="33"/>
  <c r="Z28" i="33" s="1"/>
  <c r="J28" i="33" s="1"/>
  <c r="AE28" i="33"/>
  <c r="AF28" i="33"/>
  <c r="AI28" i="33"/>
  <c r="AH28" i="33"/>
  <c r="AG28" i="33"/>
  <c r="AC28" i="33" s="1"/>
  <c r="AJ28" i="33"/>
  <c r="AP28" i="33"/>
  <c r="F31" i="32"/>
  <c r="O31" i="32"/>
  <c r="P31" i="32" s="1"/>
  <c r="Q31" i="32" s="1"/>
  <c r="Y30" i="37"/>
  <c r="Z30" i="37" s="1"/>
  <c r="J30" i="37" s="1"/>
  <c r="AJ30" i="37"/>
  <c r="AF30" i="37"/>
  <c r="AH30" i="37"/>
  <c r="AE30" i="37"/>
  <c r="AB30" i="37" s="1"/>
  <c r="K30" i="37" s="1"/>
  <c r="AG30" i="37"/>
  <c r="AC30" i="37" s="1"/>
  <c r="M30" i="37" s="1"/>
  <c r="AI30" i="37"/>
  <c r="AD30" i="37" s="1"/>
  <c r="E34" i="34"/>
  <c r="AO34" i="34"/>
  <c r="AP34" i="34"/>
  <c r="AQ34" i="34"/>
  <c r="AR34" i="34"/>
  <c r="A35" i="34"/>
  <c r="D34" i="34"/>
  <c r="B34" i="34"/>
  <c r="C34" i="34" s="1"/>
  <c r="G34" i="34"/>
  <c r="F32" i="27"/>
  <c r="O32" i="27"/>
  <c r="P32" i="27" s="1"/>
  <c r="Q32" i="27" s="1"/>
  <c r="AG54" i="34"/>
  <c r="AF54" i="34"/>
  <c r="AI54" i="34" s="1"/>
  <c r="F32" i="31"/>
  <c r="O32" i="31"/>
  <c r="P32" i="31" s="1"/>
  <c r="Q32" i="31" s="1"/>
  <c r="F31" i="35"/>
  <c r="O31" i="35"/>
  <c r="P31" i="35" s="1"/>
  <c r="Q31" i="35" s="1"/>
  <c r="AB29" i="31"/>
  <c r="K29" i="31" s="1"/>
  <c r="S26" i="38"/>
  <c r="T26" i="38" s="1"/>
  <c r="AC28" i="27"/>
  <c r="AK31" i="37"/>
  <c r="H31" i="37"/>
  <c r="I31" i="37" s="1"/>
  <c r="AB30" i="34"/>
  <c r="K30" i="34" s="1"/>
  <c r="AH28" i="35"/>
  <c r="AG28" i="35"/>
  <c r="AC28" i="35" s="1"/>
  <c r="AI28" i="35"/>
  <c r="AJ28" i="35"/>
  <c r="Y28" i="35"/>
  <c r="Z28" i="35" s="1"/>
  <c r="J28" i="35" s="1"/>
  <c r="AF28" i="35"/>
  <c r="AE28" i="35"/>
  <c r="AB28" i="35" s="1"/>
  <c r="K28" i="35" s="1"/>
  <c r="AP28" i="35"/>
  <c r="V25" i="35"/>
  <c r="W25" i="35"/>
  <c r="R27" i="27"/>
  <c r="S27" i="27" s="1"/>
  <c r="AA58" i="27"/>
  <c r="AK58" i="27"/>
  <c r="AL58" i="27"/>
  <c r="AM58" i="27"/>
  <c r="AJ58" i="27"/>
  <c r="Z59" i="27"/>
  <c r="AP33" i="31"/>
  <c r="AQ33" i="31"/>
  <c r="D33" i="31"/>
  <c r="E33" i="31"/>
  <c r="G33" i="31"/>
  <c r="AO33" i="31"/>
  <c r="AR33" i="31"/>
  <c r="A34" i="31"/>
  <c r="B33" i="31"/>
  <c r="C33" i="31" s="1"/>
  <c r="AK30" i="32"/>
  <c r="H30" i="32"/>
  <c r="I30" i="32" s="1"/>
  <c r="AB28" i="39"/>
  <c r="K28" i="39" s="1"/>
  <c r="AK56" i="34"/>
  <c r="AL56" i="34"/>
  <c r="AM56" i="34"/>
  <c r="Z57" i="34"/>
  <c r="AJ56" i="34"/>
  <c r="AA56" i="34"/>
  <c r="AC30" i="34"/>
  <c r="M30" i="34" s="1"/>
  <c r="S26" i="27"/>
  <c r="S27" i="39"/>
  <c r="U27" i="39" s="1"/>
  <c r="R26" i="32"/>
  <c r="S26" i="32" s="1"/>
  <c r="L29" i="27"/>
  <c r="AA29" i="27"/>
  <c r="N29" i="27"/>
  <c r="F31" i="36"/>
  <c r="O31" i="36"/>
  <c r="P31" i="36" s="1"/>
  <c r="Q31" i="36" s="1"/>
  <c r="AK31" i="27"/>
  <c r="H31" i="27"/>
  <c r="I31" i="27" s="1"/>
  <c r="S26" i="36"/>
  <c r="U26" i="36"/>
  <c r="AC29" i="37"/>
  <c r="R26" i="33"/>
  <c r="S26" i="33" s="1"/>
  <c r="AI28" i="36"/>
  <c r="AD28" i="36" s="1"/>
  <c r="AG28" i="36"/>
  <c r="AH28" i="36"/>
  <c r="AE28" i="36"/>
  <c r="AB28" i="36" s="1"/>
  <c r="Y28" i="36"/>
  <c r="Z28" i="36" s="1"/>
  <c r="J28" i="36" s="1"/>
  <c r="AF28" i="36"/>
  <c r="AJ28" i="36"/>
  <c r="AP28" i="36"/>
  <c r="T26" i="36"/>
  <c r="AB29" i="37"/>
  <c r="K29" i="37" s="1"/>
  <c r="AJ56" i="37"/>
  <c r="Z57" i="37"/>
  <c r="AA56" i="37"/>
  <c r="AK56" i="37"/>
  <c r="AL56" i="37"/>
  <c r="AM56" i="37"/>
  <c r="V26" i="39"/>
  <c r="W26" i="39"/>
  <c r="AC28" i="38"/>
  <c r="M28" i="38" s="1"/>
  <c r="AB29" i="27"/>
  <c r="K29" i="27" s="1"/>
  <c r="AF56" i="27"/>
  <c r="AI56" i="27" s="1"/>
  <c r="AG56" i="27"/>
  <c r="AD29" i="37"/>
  <c r="AM57" i="38"/>
  <c r="AA57" i="38"/>
  <c r="Z58" i="38"/>
  <c r="AL57" i="38"/>
  <c r="AJ57" i="38"/>
  <c r="AK57" i="38"/>
  <c r="AA27" i="35"/>
  <c r="L27" i="35"/>
  <c r="N27" i="35"/>
  <c r="T27" i="31"/>
  <c r="Y29" i="33"/>
  <c r="Z29" i="33" s="1"/>
  <c r="J29" i="33" s="1"/>
  <c r="AG29" i="33"/>
  <c r="AC29" i="33" s="1"/>
  <c r="AI29" i="33"/>
  <c r="AJ29" i="33"/>
  <c r="AE29" i="33"/>
  <c r="AF29" i="33"/>
  <c r="AH29" i="33"/>
  <c r="H30" i="36"/>
  <c r="I30" i="36" s="1"/>
  <c r="AK30" i="36"/>
  <c r="B32" i="33"/>
  <c r="C32" i="33" s="1"/>
  <c r="AO32" i="33"/>
  <c r="AP32" i="33"/>
  <c r="AQ32" i="33"/>
  <c r="AR32" i="33"/>
  <c r="A33" i="33"/>
  <c r="G32" i="33"/>
  <c r="D32" i="33"/>
  <c r="E32" i="33"/>
  <c r="T25" i="32"/>
  <c r="M28" i="39"/>
  <c r="AF30" i="39"/>
  <c r="AI30" i="39"/>
  <c r="Y30" i="39"/>
  <c r="Z30" i="39" s="1"/>
  <c r="J30" i="39" s="1"/>
  <c r="AJ30" i="39"/>
  <c r="AE30" i="39"/>
  <c r="AB30" i="39" s="1"/>
  <c r="K30" i="39" s="1"/>
  <c r="AH30" i="39"/>
  <c r="AG30" i="39"/>
  <c r="AC30" i="39" s="1"/>
  <c r="M30" i="39" s="1"/>
  <c r="AF54" i="37"/>
  <c r="AI54" i="37" s="1"/>
  <c r="AG54" i="37"/>
  <c r="AJ58" i="35"/>
  <c r="Z59" i="35"/>
  <c r="AK58" i="35"/>
  <c r="AA58" i="35"/>
  <c r="AM58" i="35"/>
  <c r="AL58" i="35"/>
  <c r="AE28" i="32"/>
  <c r="AI28" i="32"/>
  <c r="AD28" i="32" s="1"/>
  <c r="Y28" i="32"/>
  <c r="Z28" i="32" s="1"/>
  <c r="J28" i="32" s="1"/>
  <c r="AF28" i="32"/>
  <c r="AG28" i="32"/>
  <c r="AC28" i="32" s="1"/>
  <c r="AH28" i="32"/>
  <c r="AJ28" i="32"/>
  <c r="AP28" i="32"/>
  <c r="T25" i="33"/>
  <c r="AF55" i="38"/>
  <c r="AI55" i="38" s="1"/>
  <c r="AG55" i="38"/>
  <c r="AB59" i="31"/>
  <c r="AD59" i="31" s="1"/>
  <c r="AC59" i="31"/>
  <c r="AE59" i="31" s="1"/>
  <c r="AH59" i="31" s="1"/>
  <c r="H31" i="39"/>
  <c r="I31" i="39" s="1"/>
  <c r="AK31" i="39"/>
  <c r="AC29" i="31"/>
  <c r="V26" i="34"/>
  <c r="W26" i="34"/>
  <c r="AK57" i="36"/>
  <c r="Z58" i="36"/>
  <c r="AJ57" i="36"/>
  <c r="AL57" i="36"/>
  <c r="AM57" i="36"/>
  <c r="AA57" i="36"/>
  <c r="AC56" i="36"/>
  <c r="AE56" i="36" s="1"/>
  <c r="AH56" i="36" s="1"/>
  <c r="AB56" i="36"/>
  <c r="AD56" i="36" s="1"/>
  <c r="F32" i="39"/>
  <c r="O32" i="39"/>
  <c r="P32" i="39" s="1"/>
  <c r="Q32" i="39" s="1"/>
  <c r="R27" i="37"/>
  <c r="AD28" i="38"/>
  <c r="S27" i="31"/>
  <c r="U27" i="31" s="1"/>
  <c r="AF55" i="32"/>
  <c r="AI55" i="32" s="1"/>
  <c r="AG55" i="32"/>
  <c r="AC29" i="38"/>
  <c r="M29" i="38" s="1"/>
  <c r="L28" i="37"/>
  <c r="AA28" i="37"/>
  <c r="N28" i="37"/>
  <c r="V23" i="35"/>
  <c r="W23" i="35"/>
  <c r="AF29" i="35"/>
  <c r="AE29" i="35"/>
  <c r="AB29" i="35" s="1"/>
  <c r="K29" i="35" s="1"/>
  <c r="AI29" i="35"/>
  <c r="AG29" i="35"/>
  <c r="AJ29" i="35"/>
  <c r="AH29" i="35"/>
  <c r="Y29" i="35"/>
  <c r="Z29" i="35" s="1"/>
  <c r="J29" i="35" s="1"/>
  <c r="AC56" i="32"/>
  <c r="AE56" i="32" s="1"/>
  <c r="AH56" i="32" s="1"/>
  <c r="AB56" i="32"/>
  <c r="AD56" i="32" s="1"/>
  <c r="AA58" i="39"/>
  <c r="AM58" i="39"/>
  <c r="Z59" i="39"/>
  <c r="AJ58" i="39"/>
  <c r="AK58" i="39"/>
  <c r="AL58" i="39"/>
  <c r="AI29" i="32"/>
  <c r="AE29" i="32"/>
  <c r="AJ29" i="32"/>
  <c r="AF29" i="32"/>
  <c r="AG29" i="32"/>
  <c r="Y29" i="32"/>
  <c r="Z29" i="32" s="1"/>
  <c r="J29" i="32" s="1"/>
  <c r="AH29" i="32"/>
  <c r="U25" i="33"/>
  <c r="AC57" i="39"/>
  <c r="AE57" i="39" s="1"/>
  <c r="AH57" i="39" s="1"/>
  <c r="AB57" i="39"/>
  <c r="AD57" i="39" s="1"/>
  <c r="AA27" i="32"/>
  <c r="L27" i="32"/>
  <c r="N27" i="32"/>
  <c r="L27" i="33"/>
  <c r="AA27" i="33"/>
  <c r="N27" i="33"/>
  <c r="AC55" i="37"/>
  <c r="AE55" i="37" s="1"/>
  <c r="AH55" i="37" s="1"/>
  <c r="AB55" i="37"/>
  <c r="AD55" i="37" s="1"/>
  <c r="D32" i="36"/>
  <c r="AP32" i="36"/>
  <c r="AQ32" i="36"/>
  <c r="AR32" i="36"/>
  <c r="B32" i="36"/>
  <c r="C32" i="36" s="1"/>
  <c r="E32" i="36"/>
  <c r="AO32" i="36"/>
  <c r="A33" i="36"/>
  <c r="G32" i="36"/>
  <c r="R27" i="36"/>
  <c r="S27" i="36" s="1"/>
  <c r="AB28" i="37"/>
  <c r="K28" i="37" s="1"/>
  <c r="M28" i="37" s="1"/>
  <c r="H32" i="34"/>
  <c r="I32" i="34" s="1"/>
  <c r="AK32" i="34"/>
  <c r="AK31" i="38"/>
  <c r="H31" i="38"/>
  <c r="I31" i="38" s="1"/>
  <c r="U26" i="35"/>
  <c r="S27" i="38"/>
  <c r="U27" i="38" s="1"/>
  <c r="AB57" i="27"/>
  <c r="AD57" i="27" s="1"/>
  <c r="AC57" i="27"/>
  <c r="AE57" i="27" s="1"/>
  <c r="AH57" i="27" s="1"/>
  <c r="AB57" i="35"/>
  <c r="AD57" i="35" s="1"/>
  <c r="AC57" i="35"/>
  <c r="AE57" i="35" s="1"/>
  <c r="AH57" i="35" s="1"/>
  <c r="AF58" i="31"/>
  <c r="AI58" i="31" s="1"/>
  <c r="AG58" i="31"/>
  <c r="AK30" i="33"/>
  <c r="H30" i="33"/>
  <c r="I30" i="33" s="1"/>
  <c r="AG30" i="27"/>
  <c r="AJ30" i="27"/>
  <c r="AF30" i="27"/>
  <c r="Y30" i="27"/>
  <c r="Z30" i="27" s="1"/>
  <c r="J30" i="27" s="1"/>
  <c r="AH30" i="27"/>
  <c r="AI30" i="27"/>
  <c r="AD30" i="27" s="1"/>
  <c r="AE30" i="27"/>
  <c r="AB30" i="27" s="1"/>
  <c r="K30" i="27" s="1"/>
  <c r="AA28" i="39"/>
  <c r="L28" i="39"/>
  <c r="N28" i="39"/>
  <c r="AJ57" i="32"/>
  <c r="Z58" i="32"/>
  <c r="AK57" i="32"/>
  <c r="AA57" i="32"/>
  <c r="AL57" i="32"/>
  <c r="AM57" i="32"/>
  <c r="B33" i="39"/>
  <c r="C33" i="39" s="1"/>
  <c r="A34" i="39"/>
  <c r="AO33" i="39"/>
  <c r="AP33" i="39"/>
  <c r="AQ33" i="39"/>
  <c r="AR33" i="39"/>
  <c r="D33" i="39"/>
  <c r="E33" i="39"/>
  <c r="G33" i="39"/>
  <c r="AI31" i="34"/>
  <c r="AJ31" i="34"/>
  <c r="AE31" i="34"/>
  <c r="Y31" i="34"/>
  <c r="Z31" i="34" s="1"/>
  <c r="J31" i="34" s="1"/>
  <c r="AF31" i="34"/>
  <c r="AG31" i="34"/>
  <c r="AH31" i="34"/>
  <c r="AF56" i="39"/>
  <c r="AI56" i="39" s="1"/>
  <c r="AG56" i="39"/>
  <c r="F32" i="38"/>
  <c r="O32" i="38"/>
  <c r="P32" i="38" s="1"/>
  <c r="Q32" i="38" s="1"/>
  <c r="AB29" i="39"/>
  <c r="K29" i="39" s="1"/>
  <c r="U24" i="33"/>
  <c r="L28" i="27"/>
  <c r="AA28" i="27"/>
  <c r="N28" i="27"/>
  <c r="AA29" i="31"/>
  <c r="L29" i="31"/>
  <c r="N29" i="31"/>
  <c r="AC55" i="34"/>
  <c r="AE55" i="34" s="1"/>
  <c r="AH55" i="34" s="1"/>
  <c r="AB55" i="34"/>
  <c r="AD55" i="34" s="1"/>
  <c r="F33" i="34"/>
  <c r="O33" i="34"/>
  <c r="P33" i="34" s="1"/>
  <c r="Q33" i="34" s="1"/>
  <c r="F31" i="33"/>
  <c r="O31" i="33"/>
  <c r="P31" i="33" s="1"/>
  <c r="Q31" i="33" s="1"/>
  <c r="AQ33" i="27"/>
  <c r="B33" i="27"/>
  <c r="C33" i="27" s="1"/>
  <c r="AR33" i="27"/>
  <c r="E33" i="27"/>
  <c r="G33" i="27"/>
  <c r="AO33" i="27"/>
  <c r="AP33" i="27"/>
  <c r="D33" i="27"/>
  <c r="A34" i="27"/>
  <c r="AA28" i="31"/>
  <c r="L28" i="31"/>
  <c r="N28" i="31"/>
  <c r="F32" i="37"/>
  <c r="O32" i="37"/>
  <c r="P32" i="37" s="1"/>
  <c r="Q32" i="37" s="1"/>
  <c r="AJ60" i="31"/>
  <c r="Z61" i="31"/>
  <c r="AL60" i="31"/>
  <c r="AM60" i="31"/>
  <c r="AK60" i="31"/>
  <c r="AA60" i="31"/>
  <c r="AA57" i="33"/>
  <c r="Z58" i="33"/>
  <c r="AJ57" i="33"/>
  <c r="AK57" i="33"/>
  <c r="AL57" i="33"/>
  <c r="AM57" i="33"/>
  <c r="AK30" i="35"/>
  <c r="H30" i="35"/>
  <c r="I30" i="35" s="1"/>
  <c r="V24" i="38"/>
  <c r="W24" i="38"/>
  <c r="S26" i="35"/>
  <c r="T26" i="35" s="1"/>
  <c r="AA30" i="34"/>
  <c r="L30" i="34"/>
  <c r="N30" i="34"/>
  <c r="Y30" i="38"/>
  <c r="Z30" i="38" s="1"/>
  <c r="J30" i="38" s="1"/>
  <c r="AG30" i="38"/>
  <c r="AE30" i="38"/>
  <c r="AH30" i="38"/>
  <c r="AF30" i="38"/>
  <c r="AI30" i="38"/>
  <c r="AJ30" i="38"/>
  <c r="H31" i="31"/>
  <c r="I31" i="31" s="1"/>
  <c r="AK31" i="31"/>
  <c r="R29" i="34"/>
  <c r="V25" i="38"/>
  <c r="W25" i="38"/>
  <c r="AG55" i="36"/>
  <c r="AF55" i="36"/>
  <c r="AI55" i="36" s="1"/>
  <c r="AF56" i="35"/>
  <c r="AI56" i="35" s="1"/>
  <c r="AG56" i="35"/>
  <c r="AF55" i="33"/>
  <c r="AI55" i="33" s="1"/>
  <c r="AG55" i="33"/>
  <c r="E33" i="38"/>
  <c r="AO33" i="38"/>
  <c r="AP33" i="38"/>
  <c r="D33" i="38"/>
  <c r="A34" i="38"/>
  <c r="B33" i="38"/>
  <c r="C33" i="38" s="1"/>
  <c r="AQ33" i="38"/>
  <c r="AR33" i="38"/>
  <c r="G33" i="38"/>
  <c r="AR33" i="37"/>
  <c r="B33" i="37"/>
  <c r="C33" i="37" s="1"/>
  <c r="AO33" i="37"/>
  <c r="AP33" i="37"/>
  <c r="D33" i="37"/>
  <c r="AQ33" i="37"/>
  <c r="E33" i="37"/>
  <c r="A34" i="37"/>
  <c r="G33" i="37"/>
  <c r="AD29" i="39"/>
  <c r="U26" i="33" l="1"/>
  <c r="T26" i="33"/>
  <c r="U27" i="27"/>
  <c r="T27" i="27"/>
  <c r="V26" i="35"/>
  <c r="W26" i="35"/>
  <c r="T27" i="36"/>
  <c r="U26" i="32"/>
  <c r="T26" i="32"/>
  <c r="V26" i="38"/>
  <c r="W26" i="38"/>
  <c r="AA30" i="37"/>
  <c r="L30" i="37"/>
  <c r="N30" i="37"/>
  <c r="F32" i="35"/>
  <c r="O32" i="35"/>
  <c r="P32" i="35" s="1"/>
  <c r="Q32" i="35" s="1"/>
  <c r="S28" i="34"/>
  <c r="R28" i="34"/>
  <c r="AA29" i="36"/>
  <c r="L29" i="36"/>
  <c r="N29" i="36"/>
  <c r="AC30" i="31"/>
  <c r="M30" i="31" s="1"/>
  <c r="R27" i="33"/>
  <c r="K28" i="36"/>
  <c r="S27" i="37"/>
  <c r="R29" i="38"/>
  <c r="S29" i="38" s="1"/>
  <c r="K30" i="31"/>
  <c r="U26" i="38"/>
  <c r="U28" i="34"/>
  <c r="AB57" i="36"/>
  <c r="AD57" i="36" s="1"/>
  <c r="AC57" i="36"/>
  <c r="AE57" i="36" s="1"/>
  <c r="AH57" i="36" s="1"/>
  <c r="AP34" i="39"/>
  <c r="A35" i="39"/>
  <c r="B34" i="39"/>
  <c r="C34" i="39" s="1"/>
  <c r="D34" i="39"/>
  <c r="AO34" i="39"/>
  <c r="E34" i="39"/>
  <c r="AQ34" i="39"/>
  <c r="AR34" i="39"/>
  <c r="G34" i="39"/>
  <c r="AC29" i="35"/>
  <c r="M29" i="35" s="1"/>
  <c r="R30" i="34"/>
  <c r="S30" i="34" s="1"/>
  <c r="AK32" i="39"/>
  <c r="H32" i="39"/>
  <c r="I32" i="39" s="1"/>
  <c r="AD28" i="33"/>
  <c r="D33" i="35"/>
  <c r="E33" i="35"/>
  <c r="AO33" i="35"/>
  <c r="AP33" i="35"/>
  <c r="AQ33" i="35"/>
  <c r="AR33" i="35"/>
  <c r="B33" i="35"/>
  <c r="C33" i="35" s="1"/>
  <c r="G33" i="35"/>
  <c r="A34" i="35"/>
  <c r="F32" i="32"/>
  <c r="O32" i="32"/>
  <c r="P32" i="32" s="1"/>
  <c r="Q32" i="32" s="1"/>
  <c r="L28" i="38"/>
  <c r="AA28" i="38"/>
  <c r="N28" i="38"/>
  <c r="AC28" i="36"/>
  <c r="AJ58" i="33"/>
  <c r="Z59" i="33"/>
  <c r="AK58" i="33"/>
  <c r="AA58" i="33"/>
  <c r="AM58" i="33"/>
  <c r="AL58" i="33"/>
  <c r="AG57" i="35"/>
  <c r="AF57" i="35"/>
  <c r="AI57" i="35" s="1"/>
  <c r="Z58" i="34"/>
  <c r="AJ57" i="34"/>
  <c r="AK57" i="34"/>
  <c r="AM57" i="34"/>
  <c r="AA57" i="34"/>
  <c r="AL57" i="34"/>
  <c r="AD30" i="39"/>
  <c r="V27" i="31"/>
  <c r="W27" i="31"/>
  <c r="S29" i="27"/>
  <c r="R29" i="27"/>
  <c r="M28" i="35"/>
  <c r="T27" i="38"/>
  <c r="AA28" i="32"/>
  <c r="L28" i="32"/>
  <c r="N28" i="32"/>
  <c r="AB56" i="34"/>
  <c r="AD56" i="34" s="1"/>
  <c r="AC56" i="34"/>
  <c r="AE56" i="34" s="1"/>
  <c r="AH56" i="34" s="1"/>
  <c r="R29" i="31"/>
  <c r="S29" i="31" s="1"/>
  <c r="AG31" i="39"/>
  <c r="Y31" i="39"/>
  <c r="Z31" i="39" s="1"/>
  <c r="J31" i="39" s="1"/>
  <c r="AH31" i="39"/>
  <c r="AF31" i="39"/>
  <c r="AI31" i="39"/>
  <c r="AJ31" i="39"/>
  <c r="AE31" i="39"/>
  <c r="AB31" i="39" s="1"/>
  <c r="K31" i="39" s="1"/>
  <c r="AA30" i="27"/>
  <c r="L30" i="27"/>
  <c r="N30" i="27"/>
  <c r="AB58" i="39"/>
  <c r="AD58" i="39" s="1"/>
  <c r="AC58" i="39"/>
  <c r="AE58" i="39" s="1"/>
  <c r="AH58" i="39" s="1"/>
  <c r="AL57" i="37"/>
  <c r="AJ57" i="37"/>
  <c r="AK57" i="37"/>
  <c r="AM57" i="37"/>
  <c r="Z58" i="37"/>
  <c r="AA57" i="37"/>
  <c r="AB31" i="34"/>
  <c r="K31" i="34" s="1"/>
  <c r="E34" i="37"/>
  <c r="AR34" i="37"/>
  <c r="A35" i="37"/>
  <c r="AO34" i="37"/>
  <c r="AP34" i="37"/>
  <c r="AQ34" i="37"/>
  <c r="D34" i="37"/>
  <c r="B34" i="37"/>
  <c r="C34" i="37" s="1"/>
  <c r="G34" i="37"/>
  <c r="F32" i="36"/>
  <c r="O32" i="36"/>
  <c r="P32" i="36" s="1"/>
  <c r="Q32" i="36" s="1"/>
  <c r="AC58" i="35"/>
  <c r="AE58" i="35" s="1"/>
  <c r="AH58" i="35" s="1"/>
  <c r="AB58" i="35"/>
  <c r="AD58" i="35" s="1"/>
  <c r="D33" i="33"/>
  <c r="A34" i="33"/>
  <c r="G33" i="33"/>
  <c r="B33" i="33"/>
  <c r="C33" i="33" s="1"/>
  <c r="E33" i="33"/>
  <c r="AO33" i="33"/>
  <c r="AQ33" i="33"/>
  <c r="AR33" i="33"/>
  <c r="AP33" i="33"/>
  <c r="AK58" i="38"/>
  <c r="AA58" i="38"/>
  <c r="Z59" i="38"/>
  <c r="AJ58" i="38"/>
  <c r="AL58" i="38"/>
  <c r="AM58" i="38"/>
  <c r="R28" i="39"/>
  <c r="S28" i="39" s="1"/>
  <c r="AB28" i="32"/>
  <c r="K28" i="32" s="1"/>
  <c r="D34" i="31"/>
  <c r="E34" i="31"/>
  <c r="AO34" i="31"/>
  <c r="AP34" i="31"/>
  <c r="AQ34" i="31"/>
  <c r="AR34" i="31"/>
  <c r="A35" i="31"/>
  <c r="B34" i="31"/>
  <c r="C34" i="31" s="1"/>
  <c r="G34" i="31"/>
  <c r="AC58" i="27"/>
  <c r="AE58" i="27" s="1"/>
  <c r="AH58" i="27" s="1"/>
  <c r="AB58" i="27"/>
  <c r="AD58" i="27" s="1"/>
  <c r="H31" i="35"/>
  <c r="I31" i="35" s="1"/>
  <c r="AK31" i="35"/>
  <c r="AG56" i="38"/>
  <c r="AF56" i="38"/>
  <c r="AI56" i="38" s="1"/>
  <c r="V26" i="31"/>
  <c r="W26" i="31"/>
  <c r="U27" i="36"/>
  <c r="V26" i="27"/>
  <c r="W26" i="27"/>
  <c r="T28" i="34"/>
  <c r="AC31" i="34"/>
  <c r="Z60" i="39"/>
  <c r="AM59" i="39"/>
  <c r="AJ59" i="39"/>
  <c r="AK59" i="39"/>
  <c r="AL59" i="39"/>
  <c r="AA59" i="39"/>
  <c r="AC57" i="38"/>
  <c r="AE57" i="38" s="1"/>
  <c r="AH57" i="38" s="1"/>
  <c r="AB57" i="38"/>
  <c r="AD57" i="38" s="1"/>
  <c r="L28" i="36"/>
  <c r="AA28" i="36"/>
  <c r="N28" i="36"/>
  <c r="L29" i="39"/>
  <c r="AA29" i="39"/>
  <c r="N29" i="39"/>
  <c r="AA58" i="36"/>
  <c r="AM58" i="36"/>
  <c r="AJ58" i="36"/>
  <c r="AK58" i="36"/>
  <c r="AL58" i="36"/>
  <c r="Z59" i="36"/>
  <c r="L29" i="37"/>
  <c r="AA29" i="37"/>
  <c r="N29" i="37"/>
  <c r="R28" i="27"/>
  <c r="A35" i="38"/>
  <c r="D34" i="38"/>
  <c r="E34" i="38"/>
  <c r="AR34" i="38"/>
  <c r="B34" i="38"/>
  <c r="C34" i="38" s="1"/>
  <c r="AO34" i="38"/>
  <c r="AP34" i="38"/>
  <c r="AQ34" i="38"/>
  <c r="G34" i="38"/>
  <c r="AB28" i="33"/>
  <c r="K28" i="33" s="1"/>
  <c r="M28" i="33" s="1"/>
  <c r="G34" i="27"/>
  <c r="AQ34" i="27"/>
  <c r="B34" i="27"/>
  <c r="C34" i="27" s="1"/>
  <c r="AO34" i="27"/>
  <c r="AP34" i="27"/>
  <c r="AR34" i="27"/>
  <c r="D34" i="27"/>
  <c r="E34" i="27"/>
  <c r="A35" i="27"/>
  <c r="AC57" i="32"/>
  <c r="AE57" i="32" s="1"/>
  <c r="AH57" i="32" s="1"/>
  <c r="AB57" i="32"/>
  <c r="AD57" i="32" s="1"/>
  <c r="U27" i="35"/>
  <c r="AB30" i="38"/>
  <c r="K30" i="38" s="1"/>
  <c r="F33" i="27"/>
  <c r="O33" i="27"/>
  <c r="P33" i="27" s="1"/>
  <c r="Q33" i="27" s="1"/>
  <c r="AD29" i="32"/>
  <c r="M29" i="27"/>
  <c r="AK59" i="35"/>
  <c r="AL59" i="35"/>
  <c r="AA59" i="35"/>
  <c r="AM59" i="35"/>
  <c r="Z60" i="35"/>
  <c r="AJ59" i="35"/>
  <c r="V25" i="32"/>
  <c r="W25" i="32"/>
  <c r="T27" i="35"/>
  <c r="F33" i="31"/>
  <c r="O33" i="31"/>
  <c r="P33" i="31" s="1"/>
  <c r="Q33" i="31" s="1"/>
  <c r="AI31" i="37"/>
  <c r="AJ31" i="37"/>
  <c r="Y31" i="37"/>
  <c r="Z31" i="37" s="1"/>
  <c r="J31" i="37" s="1"/>
  <c r="AE31" i="37"/>
  <c r="AB31" i="37" s="1"/>
  <c r="AG31" i="37"/>
  <c r="AF31" i="37"/>
  <c r="AH31" i="37"/>
  <c r="T27" i="39"/>
  <c r="AJ59" i="27"/>
  <c r="Z60" i="27"/>
  <c r="AM59" i="27"/>
  <c r="AA59" i="27"/>
  <c r="AK59" i="27"/>
  <c r="AL59" i="27"/>
  <c r="U26" i="27"/>
  <c r="AC29" i="32"/>
  <c r="AD28" i="35"/>
  <c r="AC57" i="33"/>
  <c r="AE57" i="33" s="1"/>
  <c r="AH57" i="33" s="1"/>
  <c r="AB57" i="33"/>
  <c r="AD57" i="33" s="1"/>
  <c r="R28" i="31"/>
  <c r="AG59" i="31"/>
  <c r="AF59" i="31"/>
  <c r="AI59" i="31" s="1"/>
  <c r="F34" i="34"/>
  <c r="O34" i="34"/>
  <c r="P34" i="34" s="1"/>
  <c r="Q34" i="34" s="1"/>
  <c r="F33" i="38"/>
  <c r="O33" i="38"/>
  <c r="P33" i="38" s="1"/>
  <c r="Q33" i="38" s="1"/>
  <c r="AD31" i="34"/>
  <c r="AB29" i="32"/>
  <c r="K29" i="32" s="1"/>
  <c r="V25" i="33"/>
  <c r="W25" i="33"/>
  <c r="V26" i="36"/>
  <c r="W26" i="36"/>
  <c r="A36" i="34"/>
  <c r="AO35" i="34"/>
  <c r="AR35" i="34"/>
  <c r="B35" i="34"/>
  <c r="C35" i="34" s="1"/>
  <c r="D35" i="34"/>
  <c r="E35" i="34"/>
  <c r="AP35" i="34"/>
  <c r="AQ35" i="34"/>
  <c r="G35" i="34"/>
  <c r="F33" i="37"/>
  <c r="O33" i="37"/>
  <c r="P33" i="37" s="1"/>
  <c r="Q33" i="37" s="1"/>
  <c r="AC30" i="38"/>
  <c r="M30" i="38" s="1"/>
  <c r="AL58" i="32"/>
  <c r="AA58" i="32"/>
  <c r="AJ58" i="32"/>
  <c r="AK58" i="32"/>
  <c r="AM58" i="32"/>
  <c r="Z59" i="32"/>
  <c r="AC30" i="27"/>
  <c r="M30" i="27" s="1"/>
  <c r="R28" i="37"/>
  <c r="AE30" i="36"/>
  <c r="AJ30" i="36"/>
  <c r="AF30" i="36"/>
  <c r="AI30" i="36"/>
  <c r="AD30" i="36" s="1"/>
  <c r="AG30" i="36"/>
  <c r="AH30" i="36"/>
  <c r="Y30" i="36"/>
  <c r="Z30" i="36" s="1"/>
  <c r="J30" i="36" s="1"/>
  <c r="S27" i="35"/>
  <c r="R27" i="35"/>
  <c r="AJ31" i="27"/>
  <c r="AI31" i="27"/>
  <c r="AD31" i="27" s="1"/>
  <c r="AE31" i="27"/>
  <c r="AF31" i="27"/>
  <c r="Y31" i="27"/>
  <c r="Z31" i="27" s="1"/>
  <c r="J31" i="27" s="1"/>
  <c r="AG31" i="27"/>
  <c r="AH31" i="27"/>
  <c r="H32" i="31"/>
  <c r="I32" i="31" s="1"/>
  <c r="AK32" i="31"/>
  <c r="H31" i="32"/>
  <c r="I31" i="32" s="1"/>
  <c r="AK31" i="32"/>
  <c r="AP33" i="32"/>
  <c r="AQ33" i="32"/>
  <c r="E33" i="32"/>
  <c r="B33" i="32"/>
  <c r="C33" i="32" s="1"/>
  <c r="AO33" i="32"/>
  <c r="AR33" i="32"/>
  <c r="A34" i="32"/>
  <c r="D33" i="32"/>
  <c r="G33" i="32"/>
  <c r="AF56" i="33"/>
  <c r="AI56" i="33" s="1"/>
  <c r="AG56" i="33"/>
  <c r="L30" i="31"/>
  <c r="AA30" i="31"/>
  <c r="N30" i="31"/>
  <c r="AQ33" i="36"/>
  <c r="AP33" i="36"/>
  <c r="AR33" i="36"/>
  <c r="A34" i="36"/>
  <c r="D33" i="36"/>
  <c r="E33" i="36"/>
  <c r="AO33" i="36"/>
  <c r="B33" i="36"/>
  <c r="C33" i="36" s="1"/>
  <c r="G33" i="36"/>
  <c r="AF57" i="27"/>
  <c r="AI57" i="27" s="1"/>
  <c r="AG57" i="27"/>
  <c r="AB29" i="33"/>
  <c r="K29" i="33" s="1"/>
  <c r="M29" i="33" s="1"/>
  <c r="H31" i="36"/>
  <c r="I31" i="36" s="1"/>
  <c r="AK31" i="36"/>
  <c r="H32" i="37"/>
  <c r="I32" i="37" s="1"/>
  <c r="AK32" i="37"/>
  <c r="AD29" i="35"/>
  <c r="AD29" i="33"/>
  <c r="AI31" i="31"/>
  <c r="AG31" i="31"/>
  <c r="AJ31" i="31"/>
  <c r="AE31" i="31"/>
  <c r="Y31" i="31"/>
  <c r="Z31" i="31" s="1"/>
  <c r="J31" i="31" s="1"/>
  <c r="AH31" i="31"/>
  <c r="AF31" i="31"/>
  <c r="AF31" i="38"/>
  <c r="AI31" i="38"/>
  <c r="AD31" i="38" s="1"/>
  <c r="AJ31" i="38"/>
  <c r="AH31" i="38"/>
  <c r="AG31" i="38"/>
  <c r="AC31" i="38" s="1"/>
  <c r="AE31" i="38"/>
  <c r="Y31" i="38"/>
  <c r="Z31" i="38" s="1"/>
  <c r="J31" i="38" s="1"/>
  <c r="AB56" i="37"/>
  <c r="AD56" i="37" s="1"/>
  <c r="AC56" i="37"/>
  <c r="AE56" i="37" s="1"/>
  <c r="AH56" i="37" s="1"/>
  <c r="H32" i="27"/>
  <c r="I32" i="27" s="1"/>
  <c r="AK32" i="27"/>
  <c r="R27" i="32"/>
  <c r="AD30" i="38"/>
  <c r="H31" i="33"/>
  <c r="I31" i="33" s="1"/>
  <c r="AK31" i="33"/>
  <c r="AF57" i="39"/>
  <c r="AI57" i="39" s="1"/>
  <c r="AG57" i="39"/>
  <c r="AB60" i="31"/>
  <c r="AD60" i="31" s="1"/>
  <c r="AC60" i="31"/>
  <c r="AE60" i="31" s="1"/>
  <c r="AH60" i="31" s="1"/>
  <c r="AJ32" i="34"/>
  <c r="AF32" i="34"/>
  <c r="AG32" i="34"/>
  <c r="AH32" i="34"/>
  <c r="AI32" i="34"/>
  <c r="AD32" i="34" s="1"/>
  <c r="AE32" i="34"/>
  <c r="AB32" i="34" s="1"/>
  <c r="Y32" i="34"/>
  <c r="Z32" i="34" s="1"/>
  <c r="J32" i="34" s="1"/>
  <c r="AF56" i="32"/>
  <c r="AI56" i="32" s="1"/>
  <c r="AG56" i="32"/>
  <c r="AF56" i="36"/>
  <c r="AI56" i="36" s="1"/>
  <c r="AG56" i="36"/>
  <c r="M29" i="37"/>
  <c r="AK33" i="34"/>
  <c r="H33" i="34"/>
  <c r="I33" i="34" s="1"/>
  <c r="AF55" i="37"/>
  <c r="AI55" i="37" s="1"/>
  <c r="AG55" i="37"/>
  <c r="T29" i="34"/>
  <c r="U29" i="34"/>
  <c r="Y30" i="35"/>
  <c r="Z30" i="35" s="1"/>
  <c r="J30" i="35" s="1"/>
  <c r="AI30" i="35"/>
  <c r="AJ30" i="35"/>
  <c r="AF30" i="35"/>
  <c r="AH30" i="35"/>
  <c r="AG30" i="35"/>
  <c r="AC30" i="35" s="1"/>
  <c r="AE30" i="35"/>
  <c r="AB30" i="35" s="1"/>
  <c r="K30" i="35" s="1"/>
  <c r="AF55" i="34"/>
  <c r="AI55" i="34" s="1"/>
  <c r="AG55" i="34"/>
  <c r="S29" i="34"/>
  <c r="AL61" i="31"/>
  <c r="AA61" i="31"/>
  <c r="AJ61" i="31"/>
  <c r="AK61" i="31"/>
  <c r="AM61" i="31"/>
  <c r="Z62" i="31"/>
  <c r="AK32" i="38"/>
  <c r="H32" i="38"/>
  <c r="I32" i="38" s="1"/>
  <c r="F33" i="39"/>
  <c r="O33" i="39"/>
  <c r="P33" i="39" s="1"/>
  <c r="Q33" i="39" s="1"/>
  <c r="AE30" i="33"/>
  <c r="AB30" i="33" s="1"/>
  <c r="K30" i="33" s="1"/>
  <c r="Y30" i="33"/>
  <c r="Z30" i="33" s="1"/>
  <c r="J30" i="33" s="1"/>
  <c r="AI30" i="33"/>
  <c r="AH30" i="33"/>
  <c r="AG30" i="33"/>
  <c r="AC30" i="33" s="1"/>
  <c r="AF30" i="33"/>
  <c r="AJ30" i="33"/>
  <c r="M29" i="31"/>
  <c r="F32" i="33"/>
  <c r="O32" i="33"/>
  <c r="P32" i="33" s="1"/>
  <c r="Q32" i="33" s="1"/>
  <c r="AF30" i="32"/>
  <c r="AE30" i="32"/>
  <c r="AI30" i="32"/>
  <c r="AH30" i="32"/>
  <c r="AJ30" i="32"/>
  <c r="AG30" i="32"/>
  <c r="AC30" i="32" s="1"/>
  <c r="Y30" i="32"/>
  <c r="Z30" i="32" s="1"/>
  <c r="J30" i="32" s="1"/>
  <c r="M28" i="27"/>
  <c r="M29" i="32" l="1"/>
  <c r="U30" i="34"/>
  <c r="T30" i="34"/>
  <c r="U29" i="31"/>
  <c r="T29" i="31"/>
  <c r="U29" i="38"/>
  <c r="T29" i="38"/>
  <c r="H33" i="38"/>
  <c r="I33" i="38" s="1"/>
  <c r="AK33" i="38"/>
  <c r="AK32" i="35"/>
  <c r="H32" i="35"/>
  <c r="I32" i="35" s="1"/>
  <c r="AC30" i="36"/>
  <c r="AC31" i="27"/>
  <c r="S27" i="33"/>
  <c r="U27" i="33" s="1"/>
  <c r="AF32" i="27"/>
  <c r="AE32" i="27"/>
  <c r="AB32" i="27" s="1"/>
  <c r="Y32" i="27"/>
  <c r="Z32" i="27" s="1"/>
  <c r="J32" i="27" s="1"/>
  <c r="AG32" i="27"/>
  <c r="AH32" i="27"/>
  <c r="AI32" i="27"/>
  <c r="AD32" i="27" s="1"/>
  <c r="AJ32" i="27"/>
  <c r="F35" i="34"/>
  <c r="O35" i="34"/>
  <c r="P35" i="34" s="1"/>
  <c r="Q35" i="34" s="1"/>
  <c r="F33" i="32"/>
  <c r="O33" i="32"/>
  <c r="P33" i="32" s="1"/>
  <c r="Q33" i="32" s="1"/>
  <c r="AC59" i="27"/>
  <c r="AE59" i="27" s="1"/>
  <c r="AH59" i="27" s="1"/>
  <c r="AB59" i="27"/>
  <c r="AD59" i="27" s="1"/>
  <c r="V27" i="27"/>
  <c r="W27" i="27"/>
  <c r="L32" i="34"/>
  <c r="AA32" i="34"/>
  <c r="N32" i="34"/>
  <c r="E34" i="36"/>
  <c r="D34" i="36"/>
  <c r="AQ34" i="36"/>
  <c r="B34" i="36"/>
  <c r="C34" i="36" s="1"/>
  <c r="AO34" i="36"/>
  <c r="AP34" i="36"/>
  <c r="AR34" i="36"/>
  <c r="A35" i="36"/>
  <c r="G34" i="36"/>
  <c r="AC58" i="32"/>
  <c r="AE58" i="32" s="1"/>
  <c r="AH58" i="32" s="1"/>
  <c r="AB58" i="32"/>
  <c r="AD58" i="32" s="1"/>
  <c r="AG31" i="36"/>
  <c r="AF31" i="36"/>
  <c r="AI31" i="36"/>
  <c r="AJ31" i="36"/>
  <c r="Y31" i="36"/>
  <c r="Z31" i="36" s="1"/>
  <c r="J31" i="36" s="1"/>
  <c r="AE31" i="36"/>
  <c r="AB31" i="36" s="1"/>
  <c r="K31" i="36" s="1"/>
  <c r="AH31" i="36"/>
  <c r="F34" i="37"/>
  <c r="O34" i="37"/>
  <c r="P34" i="37" s="1"/>
  <c r="Q34" i="37" s="1"/>
  <c r="AH32" i="39"/>
  <c r="AJ32" i="39"/>
  <c r="AF32" i="39"/>
  <c r="Y32" i="39"/>
  <c r="Z32" i="39" s="1"/>
  <c r="J32" i="39" s="1"/>
  <c r="AG32" i="39"/>
  <c r="AC32" i="39" s="1"/>
  <c r="AE32" i="39"/>
  <c r="AB32" i="39" s="1"/>
  <c r="K32" i="39" s="1"/>
  <c r="AI32" i="39"/>
  <c r="AD32" i="39" s="1"/>
  <c r="U29" i="27"/>
  <c r="AG56" i="34"/>
  <c r="AF56" i="34"/>
  <c r="AI56" i="34" s="1"/>
  <c r="AL60" i="27"/>
  <c r="AK60" i="27"/>
  <c r="AA60" i="27"/>
  <c r="AJ60" i="27"/>
  <c r="AM60" i="27"/>
  <c r="Z61" i="27"/>
  <c r="K32" i="34"/>
  <c r="L28" i="35"/>
  <c r="AA28" i="35"/>
  <c r="N28" i="35"/>
  <c r="F34" i="31"/>
  <c r="O34" i="31"/>
  <c r="P34" i="31" s="1"/>
  <c r="Q34" i="31" s="1"/>
  <c r="AA30" i="36"/>
  <c r="L30" i="36"/>
  <c r="N30" i="36"/>
  <c r="AF57" i="36"/>
  <c r="AI57" i="36" s="1"/>
  <c r="AG57" i="36"/>
  <c r="AA30" i="38"/>
  <c r="L30" i="38"/>
  <c r="N30" i="38"/>
  <c r="S30" i="37"/>
  <c r="R30" i="37"/>
  <c r="AJ62" i="31"/>
  <c r="AK62" i="31"/>
  <c r="AL62" i="31"/>
  <c r="AM62" i="31"/>
  <c r="Z63" i="31"/>
  <c r="AA62" i="31"/>
  <c r="L30" i="39"/>
  <c r="AA30" i="39"/>
  <c r="N30" i="39"/>
  <c r="V27" i="39"/>
  <c r="W27" i="39"/>
  <c r="H32" i="32"/>
  <c r="I32" i="32" s="1"/>
  <c r="AK32" i="32"/>
  <c r="S29" i="39"/>
  <c r="R29" i="39"/>
  <c r="V29" i="34"/>
  <c r="W29" i="34"/>
  <c r="AD31" i="37"/>
  <c r="B35" i="38"/>
  <c r="C35" i="38" s="1"/>
  <c r="D35" i="38"/>
  <c r="E35" i="38"/>
  <c r="AO35" i="38"/>
  <c r="AP35" i="38"/>
  <c r="AQ35" i="38"/>
  <c r="AR35" i="38"/>
  <c r="A36" i="38"/>
  <c r="G35" i="38"/>
  <c r="AJ58" i="37"/>
  <c r="AK58" i="37"/>
  <c r="AL58" i="37"/>
  <c r="AM58" i="37"/>
  <c r="Z59" i="37"/>
  <c r="AA58" i="37"/>
  <c r="L28" i="33"/>
  <c r="AA28" i="33"/>
  <c r="N28" i="33"/>
  <c r="M28" i="32"/>
  <c r="AB59" i="35"/>
  <c r="AD59" i="35" s="1"/>
  <c r="AC59" i="35"/>
  <c r="AE59" i="35" s="1"/>
  <c r="AH59" i="35" s="1"/>
  <c r="F34" i="38"/>
  <c r="O34" i="38"/>
  <c r="P34" i="38" s="1"/>
  <c r="Q34" i="38" s="1"/>
  <c r="AB57" i="37"/>
  <c r="AD57" i="37" s="1"/>
  <c r="AC57" i="37"/>
  <c r="AE57" i="37" s="1"/>
  <c r="AH57" i="37" s="1"/>
  <c r="H33" i="39"/>
  <c r="I33" i="39" s="1"/>
  <c r="AK33" i="39"/>
  <c r="AG32" i="37"/>
  <c r="AC32" i="37" s="1"/>
  <c r="AE32" i="37"/>
  <c r="AB32" i="37" s="1"/>
  <c r="AJ32" i="37"/>
  <c r="Y32" i="37"/>
  <c r="Z32" i="37" s="1"/>
  <c r="J32" i="37" s="1"/>
  <c r="AI32" i="37"/>
  <c r="AF32" i="37"/>
  <c r="AH32" i="37"/>
  <c r="Y31" i="33"/>
  <c r="Z31" i="33" s="1"/>
  <c r="J31" i="33" s="1"/>
  <c r="AH31" i="33"/>
  <c r="AI31" i="33"/>
  <c r="AF31" i="33"/>
  <c r="AJ31" i="33"/>
  <c r="AG31" i="33"/>
  <c r="AC31" i="33" s="1"/>
  <c r="AE31" i="33"/>
  <c r="AB31" i="33" s="1"/>
  <c r="K31" i="33" s="1"/>
  <c r="AK34" i="34"/>
  <c r="H34" i="34"/>
  <c r="I34" i="34" s="1"/>
  <c r="AG57" i="38"/>
  <c r="AF57" i="38"/>
  <c r="AI57" i="38" s="1"/>
  <c r="AD31" i="39"/>
  <c r="AB58" i="33"/>
  <c r="AD58" i="33" s="1"/>
  <c r="AC58" i="33"/>
  <c r="AE58" i="33" s="1"/>
  <c r="AH58" i="33" s="1"/>
  <c r="AF57" i="32"/>
  <c r="AI57" i="32" s="1"/>
  <c r="AG57" i="32"/>
  <c r="V28" i="34"/>
  <c r="W28" i="34"/>
  <c r="AO28" i="34" s="1"/>
  <c r="AL59" i="33"/>
  <c r="AM59" i="33"/>
  <c r="AJ59" i="33"/>
  <c r="AK59" i="33"/>
  <c r="AA59" i="33"/>
  <c r="Z60" i="33"/>
  <c r="AD31" i="31"/>
  <c r="AA29" i="32"/>
  <c r="L29" i="32"/>
  <c r="N29" i="32"/>
  <c r="G34" i="35"/>
  <c r="AQ34" i="35"/>
  <c r="AR34" i="35"/>
  <c r="A35" i="35"/>
  <c r="AP34" i="35"/>
  <c r="D34" i="35"/>
  <c r="E34" i="35"/>
  <c r="B34" i="35"/>
  <c r="C34" i="35" s="1"/>
  <c r="AO34" i="35"/>
  <c r="S28" i="37"/>
  <c r="AR35" i="31"/>
  <c r="A36" i="31"/>
  <c r="AO35" i="31"/>
  <c r="B35" i="31"/>
  <c r="C35" i="31" s="1"/>
  <c r="D35" i="31"/>
  <c r="E35" i="31"/>
  <c r="AP35" i="31"/>
  <c r="AQ35" i="31"/>
  <c r="G35" i="31"/>
  <c r="F33" i="33"/>
  <c r="O33" i="33"/>
  <c r="P33" i="33" s="1"/>
  <c r="Q33" i="33" s="1"/>
  <c r="M28" i="36"/>
  <c r="V27" i="36"/>
  <c r="W27" i="36"/>
  <c r="AD30" i="32"/>
  <c r="AB61" i="31"/>
  <c r="AD61" i="31" s="1"/>
  <c r="AC61" i="31"/>
  <c r="AE61" i="31" s="1"/>
  <c r="AH61" i="31" s="1"/>
  <c r="AF60" i="31"/>
  <c r="AI60" i="31" s="1"/>
  <c r="AG60" i="31"/>
  <c r="L29" i="33"/>
  <c r="AA29" i="33"/>
  <c r="N29" i="33"/>
  <c r="R30" i="31"/>
  <c r="U28" i="39"/>
  <c r="S28" i="31"/>
  <c r="T28" i="31" s="1"/>
  <c r="H33" i="27"/>
  <c r="I33" i="27" s="1"/>
  <c r="AK33" i="27"/>
  <c r="R29" i="37"/>
  <c r="S29" i="37" s="1"/>
  <c r="AF58" i="27"/>
  <c r="AI58" i="27" s="1"/>
  <c r="AG58" i="27"/>
  <c r="AA59" i="38"/>
  <c r="AM59" i="38"/>
  <c r="Z60" i="38"/>
  <c r="AJ59" i="38"/>
  <c r="AL59" i="38"/>
  <c r="AK59" i="38"/>
  <c r="AF58" i="35"/>
  <c r="AI58" i="35" s="1"/>
  <c r="AG58" i="35"/>
  <c r="D35" i="37"/>
  <c r="AO35" i="37"/>
  <c r="B35" i="37"/>
  <c r="C35" i="37" s="1"/>
  <c r="AP35" i="37"/>
  <c r="E35" i="37"/>
  <c r="AQ35" i="37"/>
  <c r="AR35" i="37"/>
  <c r="A36" i="37"/>
  <c r="G35" i="37"/>
  <c r="AF58" i="39"/>
  <c r="AI58" i="39" s="1"/>
  <c r="AG58" i="39"/>
  <c r="V27" i="38"/>
  <c r="W27" i="38"/>
  <c r="F34" i="39"/>
  <c r="O34" i="39"/>
  <c r="P34" i="39" s="1"/>
  <c r="Q34" i="39" s="1"/>
  <c r="R29" i="36"/>
  <c r="T28" i="39"/>
  <c r="V26" i="33"/>
  <c r="W26" i="33"/>
  <c r="R30" i="27"/>
  <c r="H32" i="33"/>
  <c r="I32" i="33" s="1"/>
  <c r="AK32" i="33"/>
  <c r="F33" i="36"/>
  <c r="O33" i="36"/>
  <c r="P33" i="36" s="1"/>
  <c r="Q33" i="36" s="1"/>
  <c r="AI32" i="38"/>
  <c r="AE32" i="38"/>
  <c r="AF32" i="38"/>
  <c r="AG32" i="38"/>
  <c r="Y32" i="38"/>
  <c r="Z32" i="38" s="1"/>
  <c r="J32" i="38" s="1"/>
  <c r="AJ32" i="38"/>
  <c r="AH32" i="38"/>
  <c r="E34" i="32"/>
  <c r="AQ34" i="32"/>
  <c r="AR34" i="32"/>
  <c r="A35" i="32"/>
  <c r="AO34" i="32"/>
  <c r="AP34" i="32"/>
  <c r="B34" i="32"/>
  <c r="C34" i="32" s="1"/>
  <c r="D34" i="32"/>
  <c r="G34" i="32"/>
  <c r="AB31" i="31"/>
  <c r="K31" i="31" s="1"/>
  <c r="AK33" i="31"/>
  <c r="H33" i="31"/>
  <c r="I33" i="31" s="1"/>
  <c r="U27" i="37"/>
  <c r="S28" i="27"/>
  <c r="R28" i="32"/>
  <c r="S28" i="32" s="1"/>
  <c r="M30" i="35"/>
  <c r="AC31" i="31"/>
  <c r="V27" i="35"/>
  <c r="W27" i="35"/>
  <c r="Y31" i="35"/>
  <c r="Z31" i="35" s="1"/>
  <c r="J31" i="35" s="1"/>
  <c r="AG31" i="35"/>
  <c r="AE31" i="35"/>
  <c r="AI31" i="35"/>
  <c r="AD31" i="35" s="1"/>
  <c r="AF31" i="35"/>
  <c r="AH31" i="35"/>
  <c r="AJ31" i="35"/>
  <c r="AB31" i="38"/>
  <c r="K31" i="38" s="1"/>
  <c r="M31" i="38" s="1"/>
  <c r="AB31" i="27"/>
  <c r="K31" i="27" s="1"/>
  <c r="H33" i="37"/>
  <c r="I33" i="37" s="1"/>
  <c r="AK33" i="37"/>
  <c r="AR34" i="33"/>
  <c r="E34" i="33"/>
  <c r="A35" i="33"/>
  <c r="B34" i="33"/>
  <c r="C34" i="33" s="1"/>
  <c r="D34" i="33"/>
  <c r="AQ34" i="33"/>
  <c r="G34" i="33"/>
  <c r="AO34" i="33"/>
  <c r="AP34" i="33"/>
  <c r="AB57" i="34"/>
  <c r="AD57" i="34" s="1"/>
  <c r="AC57" i="34"/>
  <c r="AE57" i="34" s="1"/>
  <c r="AH57" i="34" s="1"/>
  <c r="T27" i="33"/>
  <c r="M30" i="33"/>
  <c r="L31" i="27"/>
  <c r="AA31" i="27"/>
  <c r="N31" i="27"/>
  <c r="AO35" i="27"/>
  <c r="AP35" i="27"/>
  <c r="AR35" i="27"/>
  <c r="A36" i="27"/>
  <c r="G35" i="27"/>
  <c r="D35" i="27"/>
  <c r="E35" i="27"/>
  <c r="AQ35" i="27"/>
  <c r="B35" i="27"/>
  <c r="C35" i="27" s="1"/>
  <c r="T29" i="39"/>
  <c r="AC31" i="39"/>
  <c r="M31" i="39" s="1"/>
  <c r="V26" i="32"/>
  <c r="W26" i="32"/>
  <c r="U28" i="31"/>
  <c r="AB30" i="32"/>
  <c r="K30" i="32" s="1"/>
  <c r="M30" i="32" s="1"/>
  <c r="AD30" i="33"/>
  <c r="AD30" i="35"/>
  <c r="L29" i="35"/>
  <c r="AA29" i="35"/>
  <c r="N29" i="35"/>
  <c r="AC31" i="37"/>
  <c r="T27" i="37"/>
  <c r="F34" i="27"/>
  <c r="O34" i="27"/>
  <c r="P34" i="27" s="1"/>
  <c r="Q34" i="27" s="1"/>
  <c r="R28" i="36"/>
  <c r="AB58" i="38"/>
  <c r="AD58" i="38" s="1"/>
  <c r="AC58" i="38"/>
  <c r="AE58" i="38" s="1"/>
  <c r="AH58" i="38" s="1"/>
  <c r="T28" i="38"/>
  <c r="Y32" i="31"/>
  <c r="Z32" i="31" s="1"/>
  <c r="J32" i="31" s="1"/>
  <c r="AJ32" i="31"/>
  <c r="AH32" i="31"/>
  <c r="AE32" i="31"/>
  <c r="AB32" i="31" s="1"/>
  <c r="K32" i="31" s="1"/>
  <c r="AF32" i="31"/>
  <c r="AI32" i="31"/>
  <c r="AG32" i="31"/>
  <c r="M31" i="34"/>
  <c r="H32" i="36"/>
  <c r="I32" i="36" s="1"/>
  <c r="AK32" i="36"/>
  <c r="F33" i="35"/>
  <c r="O33" i="35"/>
  <c r="P33" i="35" s="1"/>
  <c r="Q33" i="35" s="1"/>
  <c r="AG56" i="37"/>
  <c r="AF56" i="37"/>
  <c r="AI56" i="37" s="1"/>
  <c r="B36" i="34"/>
  <c r="C36" i="34" s="1"/>
  <c r="AO36" i="34"/>
  <c r="D36" i="34"/>
  <c r="E36" i="34"/>
  <c r="AP36" i="34"/>
  <c r="AQ36" i="34"/>
  <c r="AR36" i="34"/>
  <c r="A37" i="34"/>
  <c r="G36" i="34"/>
  <c r="AB58" i="36"/>
  <c r="AD58" i="36" s="1"/>
  <c r="AC58" i="36"/>
  <c r="AE58" i="36" s="1"/>
  <c r="AH58" i="36" s="1"/>
  <c r="AC32" i="34"/>
  <c r="AJ33" i="34"/>
  <c r="Y33" i="34"/>
  <c r="Z33" i="34" s="1"/>
  <c r="J33" i="34" s="1"/>
  <c r="AI33" i="34"/>
  <c r="AD33" i="34" s="1"/>
  <c r="AE33" i="34"/>
  <c r="AF33" i="34"/>
  <c r="AG33" i="34"/>
  <c r="AH33" i="34"/>
  <c r="AB30" i="36"/>
  <c r="K30" i="36" s="1"/>
  <c r="U29" i="39"/>
  <c r="AB59" i="39"/>
  <c r="AD59" i="39" s="1"/>
  <c r="AC59" i="39"/>
  <c r="AE59" i="39" s="1"/>
  <c r="AH59" i="39" s="1"/>
  <c r="S27" i="32"/>
  <c r="U27" i="32" s="1"/>
  <c r="AA31" i="38"/>
  <c r="L31" i="38"/>
  <c r="N31" i="38"/>
  <c r="Y31" i="32"/>
  <c r="Z31" i="32" s="1"/>
  <c r="J31" i="32" s="1"/>
  <c r="AE31" i="32"/>
  <c r="AJ31" i="32"/>
  <c r="AG31" i="32"/>
  <c r="AH31" i="32"/>
  <c r="AI31" i="32"/>
  <c r="AD31" i="32" s="1"/>
  <c r="AF31" i="32"/>
  <c r="AA59" i="32"/>
  <c r="Z60" i="32"/>
  <c r="AM59" i="32"/>
  <c r="AJ59" i="32"/>
  <c r="AK59" i="32"/>
  <c r="AL59" i="32"/>
  <c r="L31" i="34"/>
  <c r="AA31" i="34"/>
  <c r="N31" i="34"/>
  <c r="AF57" i="33"/>
  <c r="AI57" i="33" s="1"/>
  <c r="AG57" i="33"/>
  <c r="K31" i="37"/>
  <c r="AA60" i="35"/>
  <c r="AM60" i="35"/>
  <c r="Z61" i="35"/>
  <c r="AJ60" i="35"/>
  <c r="AK60" i="35"/>
  <c r="AL60" i="35"/>
  <c r="AA59" i="36"/>
  <c r="AJ59" i="36"/>
  <c r="Z60" i="36"/>
  <c r="AK59" i="36"/>
  <c r="AL59" i="36"/>
  <c r="AM59" i="36"/>
  <c r="AL60" i="39"/>
  <c r="AM60" i="39"/>
  <c r="Z61" i="39"/>
  <c r="AK60" i="39"/>
  <c r="AA60" i="39"/>
  <c r="AJ60" i="39"/>
  <c r="T29" i="27"/>
  <c r="AK58" i="34"/>
  <c r="AL58" i="34"/>
  <c r="AM58" i="34"/>
  <c r="AA58" i="34"/>
  <c r="AJ58" i="34"/>
  <c r="Z59" i="34"/>
  <c r="S28" i="38"/>
  <c r="R28" i="38"/>
  <c r="E35" i="39"/>
  <c r="D35" i="39"/>
  <c r="AQ35" i="39"/>
  <c r="AR35" i="39"/>
  <c r="A36" i="39"/>
  <c r="B35" i="39"/>
  <c r="C35" i="39" s="1"/>
  <c r="AO35" i="39"/>
  <c r="AP35" i="39"/>
  <c r="G35" i="39"/>
  <c r="AB31" i="32" l="1"/>
  <c r="K31" i="32" s="1"/>
  <c r="T28" i="32"/>
  <c r="U28" i="32"/>
  <c r="T29" i="37"/>
  <c r="U29" i="37"/>
  <c r="AB31" i="35"/>
  <c r="K31" i="35" s="1"/>
  <c r="AA31" i="32"/>
  <c r="L31" i="32"/>
  <c r="N31" i="32"/>
  <c r="S28" i="36"/>
  <c r="T28" i="36" s="1"/>
  <c r="U28" i="36"/>
  <c r="T27" i="32"/>
  <c r="U28" i="37"/>
  <c r="AC32" i="27"/>
  <c r="L30" i="33"/>
  <c r="AA30" i="33"/>
  <c r="N30" i="33"/>
  <c r="H33" i="35"/>
  <c r="I33" i="35" s="1"/>
  <c r="AK33" i="35"/>
  <c r="L33" i="34"/>
  <c r="AA33" i="34"/>
  <c r="N33" i="34"/>
  <c r="U28" i="27"/>
  <c r="AF58" i="36"/>
  <c r="AI58" i="36" s="1"/>
  <c r="AG58" i="36"/>
  <c r="AC31" i="35"/>
  <c r="AK63" i="31"/>
  <c r="AL63" i="31"/>
  <c r="Z64" i="31"/>
  <c r="AM63" i="31"/>
  <c r="AA63" i="31"/>
  <c r="AJ63" i="31"/>
  <c r="AI33" i="38"/>
  <c r="AE33" i="38"/>
  <c r="AF33" i="38"/>
  <c r="Y33" i="38"/>
  <c r="Z33" i="38" s="1"/>
  <c r="J33" i="38" s="1"/>
  <c r="AG33" i="38"/>
  <c r="AJ33" i="38"/>
  <c r="AH33" i="38"/>
  <c r="V27" i="33"/>
  <c r="W27" i="33"/>
  <c r="B35" i="32"/>
  <c r="C35" i="32" s="1"/>
  <c r="E35" i="32"/>
  <c r="AP35" i="32"/>
  <c r="AQ35" i="32"/>
  <c r="AR35" i="32"/>
  <c r="D35" i="32"/>
  <c r="A36" i="32"/>
  <c r="AO35" i="32"/>
  <c r="G35" i="32"/>
  <c r="AA32" i="27"/>
  <c r="L32" i="27"/>
  <c r="N32" i="27"/>
  <c r="R29" i="33"/>
  <c r="S29" i="33" s="1"/>
  <c r="AA60" i="36"/>
  <c r="AJ60" i="36"/>
  <c r="Z61" i="36"/>
  <c r="AK60" i="36"/>
  <c r="AL60" i="36"/>
  <c r="AM60" i="36"/>
  <c r="AB58" i="37"/>
  <c r="AD58" i="37" s="1"/>
  <c r="AC58" i="37"/>
  <c r="AE58" i="37" s="1"/>
  <c r="AH58" i="37" s="1"/>
  <c r="V29" i="27"/>
  <c r="W29" i="27"/>
  <c r="M31" i="33"/>
  <c r="R30" i="38"/>
  <c r="AG57" i="34"/>
  <c r="AF57" i="34"/>
  <c r="AI57" i="34" s="1"/>
  <c r="F35" i="37"/>
  <c r="O35" i="37"/>
  <c r="P35" i="37" s="1"/>
  <c r="Q35" i="37" s="1"/>
  <c r="L32" i="39"/>
  <c r="AA32" i="39"/>
  <c r="N32" i="39"/>
  <c r="T28" i="37"/>
  <c r="AB60" i="39"/>
  <c r="AD60" i="39" s="1"/>
  <c r="AC60" i="39"/>
  <c r="AE60" i="39" s="1"/>
  <c r="AH60" i="39" s="1"/>
  <c r="AA31" i="31"/>
  <c r="L31" i="31"/>
  <c r="N31" i="31"/>
  <c r="AF59" i="39"/>
  <c r="AI59" i="39" s="1"/>
  <c r="AG59" i="39"/>
  <c r="AF32" i="36"/>
  <c r="AJ32" i="36"/>
  <c r="AI32" i="36"/>
  <c r="AD32" i="36" s="1"/>
  <c r="AG32" i="36"/>
  <c r="AE32" i="36"/>
  <c r="AB32" i="36" s="1"/>
  <c r="Y32" i="36"/>
  <c r="Z32" i="36" s="1"/>
  <c r="J32" i="36" s="1"/>
  <c r="AH32" i="36"/>
  <c r="U28" i="38"/>
  <c r="AK34" i="27"/>
  <c r="H34" i="27"/>
  <c r="I34" i="27" s="1"/>
  <c r="AF33" i="37"/>
  <c r="AE33" i="37"/>
  <c r="AB33" i="37" s="1"/>
  <c r="AJ33" i="37"/>
  <c r="AH33" i="37"/>
  <c r="AI33" i="37"/>
  <c r="AD33" i="37" s="1"/>
  <c r="AG33" i="37"/>
  <c r="AC33" i="37" s="1"/>
  <c r="Y33" i="37"/>
  <c r="Z33" i="37" s="1"/>
  <c r="J33" i="37" s="1"/>
  <c r="AC32" i="38"/>
  <c r="AI33" i="27"/>
  <c r="AD33" i="27" s="1"/>
  <c r="AF33" i="27"/>
  <c r="AH33" i="27"/>
  <c r="Y33" i="27"/>
  <c r="Z33" i="27" s="1"/>
  <c r="J33" i="27" s="1"/>
  <c r="AE33" i="27"/>
  <c r="AG33" i="27"/>
  <c r="AJ33" i="27"/>
  <c r="F35" i="31"/>
  <c r="O35" i="31"/>
  <c r="P35" i="31" s="1"/>
  <c r="Q35" i="31" s="1"/>
  <c r="AF57" i="37"/>
  <c r="AI57" i="37" s="1"/>
  <c r="AG57" i="37"/>
  <c r="AC60" i="27"/>
  <c r="AE60" i="27" s="1"/>
  <c r="AH60" i="27" s="1"/>
  <c r="AB60" i="27"/>
  <c r="AD60" i="27" s="1"/>
  <c r="AC31" i="36"/>
  <c r="M31" i="36" s="1"/>
  <c r="F34" i="36"/>
  <c r="O34" i="36"/>
  <c r="P34" i="36" s="1"/>
  <c r="Q34" i="36" s="1"/>
  <c r="H33" i="32"/>
  <c r="I33" i="32" s="1"/>
  <c r="AK33" i="32"/>
  <c r="M31" i="27"/>
  <c r="R29" i="35"/>
  <c r="S29" i="35" s="1"/>
  <c r="H34" i="39"/>
  <c r="I34" i="39" s="1"/>
  <c r="AK34" i="39"/>
  <c r="AC33" i="34"/>
  <c r="AA30" i="35"/>
  <c r="L30" i="35"/>
  <c r="N30" i="35"/>
  <c r="AK33" i="33"/>
  <c r="H33" i="33"/>
  <c r="I33" i="33" s="1"/>
  <c r="K32" i="37"/>
  <c r="V29" i="38"/>
  <c r="W29" i="38"/>
  <c r="R31" i="34"/>
  <c r="AR36" i="27"/>
  <c r="B36" i="27"/>
  <c r="C36" i="27" s="1"/>
  <c r="AP36" i="27"/>
  <c r="AQ36" i="27"/>
  <c r="A37" i="27"/>
  <c r="D36" i="27"/>
  <c r="AO36" i="27"/>
  <c r="E36" i="27"/>
  <c r="G36" i="27"/>
  <c r="M32" i="37"/>
  <c r="AA59" i="37"/>
  <c r="Z60" i="37"/>
  <c r="AJ59" i="37"/>
  <c r="AK59" i="37"/>
  <c r="AL59" i="37"/>
  <c r="AM59" i="37"/>
  <c r="F35" i="38"/>
  <c r="O35" i="38"/>
  <c r="P35" i="38" s="1"/>
  <c r="Q35" i="38" s="1"/>
  <c r="AE32" i="35"/>
  <c r="AF32" i="35"/>
  <c r="AG32" i="35"/>
  <c r="AH32" i="35"/>
  <c r="AJ32" i="35"/>
  <c r="AI32" i="35"/>
  <c r="AD32" i="35" s="1"/>
  <c r="Y32" i="35"/>
  <c r="Z32" i="35" s="1"/>
  <c r="J32" i="35" s="1"/>
  <c r="AB33" i="34"/>
  <c r="K33" i="34" s="1"/>
  <c r="F35" i="39"/>
  <c r="O35" i="39"/>
  <c r="P35" i="39" s="1"/>
  <c r="Q35" i="39" s="1"/>
  <c r="AD31" i="33"/>
  <c r="AA61" i="39"/>
  <c r="AM61" i="39"/>
  <c r="Z62" i="39"/>
  <c r="AJ61" i="39"/>
  <c r="AK61" i="39"/>
  <c r="AL61" i="39"/>
  <c r="V27" i="37"/>
  <c r="W27" i="37"/>
  <c r="R31" i="27"/>
  <c r="M31" i="31"/>
  <c r="F34" i="32"/>
  <c r="O34" i="32"/>
  <c r="P34" i="32" s="1"/>
  <c r="Q34" i="32" s="1"/>
  <c r="V28" i="39"/>
  <c r="W28" i="39"/>
  <c r="AO28" i="39" s="1"/>
  <c r="V28" i="31"/>
  <c r="W28" i="31"/>
  <c r="AO28" i="31" s="1"/>
  <c r="AG61" i="31"/>
  <c r="AF61" i="31"/>
  <c r="AI61" i="31" s="1"/>
  <c r="O34" i="35"/>
  <c r="P34" i="35" s="1"/>
  <c r="Q34" i="35" s="1"/>
  <c r="F34" i="35"/>
  <c r="L31" i="39"/>
  <c r="AA31" i="39"/>
  <c r="N31" i="39"/>
  <c r="R30" i="36"/>
  <c r="S30" i="36" s="1"/>
  <c r="M30" i="36"/>
  <c r="V29" i="31"/>
  <c r="W29" i="31"/>
  <c r="V30" i="34"/>
  <c r="W30" i="34"/>
  <c r="AB59" i="38"/>
  <c r="AD59" i="38" s="1"/>
  <c r="AC59" i="38"/>
  <c r="AE59" i="38" s="1"/>
  <c r="AH59" i="38" s="1"/>
  <c r="AI34" i="34"/>
  <c r="AJ34" i="34"/>
  <c r="AH34" i="34"/>
  <c r="AE34" i="34"/>
  <c r="Y34" i="34"/>
  <c r="Z34" i="34" s="1"/>
  <c r="J34" i="34" s="1"/>
  <c r="AF34" i="34"/>
  <c r="AG34" i="34"/>
  <c r="B35" i="33"/>
  <c r="C35" i="33" s="1"/>
  <c r="AO35" i="33"/>
  <c r="E35" i="33"/>
  <c r="G35" i="33"/>
  <c r="AR35" i="33"/>
  <c r="A36" i="33"/>
  <c r="D35" i="33"/>
  <c r="AP35" i="33"/>
  <c r="AQ35" i="33"/>
  <c r="B36" i="39"/>
  <c r="C36" i="39" s="1"/>
  <c r="E36" i="39"/>
  <c r="AR36" i="39"/>
  <c r="D36" i="39"/>
  <c r="AO36" i="39"/>
  <c r="AP36" i="39"/>
  <c r="A37" i="39"/>
  <c r="AQ36" i="39"/>
  <c r="G36" i="39"/>
  <c r="AG59" i="35"/>
  <c r="AF59" i="35"/>
  <c r="AI59" i="35" s="1"/>
  <c r="AF32" i="33"/>
  <c r="Y32" i="33"/>
  <c r="Z32" i="33" s="1"/>
  <c r="J32" i="33" s="1"/>
  <c r="AJ32" i="33"/>
  <c r="AE32" i="33"/>
  <c r="AB32" i="33" s="1"/>
  <c r="K32" i="33" s="1"/>
  <c r="AG32" i="33"/>
  <c r="AI32" i="33"/>
  <c r="AD32" i="33" s="1"/>
  <c r="AH32" i="33"/>
  <c r="S30" i="39"/>
  <c r="R30" i="39"/>
  <c r="T30" i="39" s="1"/>
  <c r="AB59" i="36"/>
  <c r="AD59" i="36" s="1"/>
  <c r="AC59" i="36"/>
  <c r="AE59" i="36" s="1"/>
  <c r="AH59" i="36" s="1"/>
  <c r="V28" i="38"/>
  <c r="W28" i="38"/>
  <c r="AO28" i="38" s="1"/>
  <c r="S30" i="27"/>
  <c r="T30" i="27" s="1"/>
  <c r="AJ33" i="39"/>
  <c r="AF33" i="39"/>
  <c r="AI33" i="39"/>
  <c r="AD33" i="39" s="1"/>
  <c r="Y33" i="39"/>
  <c r="Z33" i="39" s="1"/>
  <c r="J33" i="39" s="1"/>
  <c r="AG33" i="39"/>
  <c r="AC33" i="39" s="1"/>
  <c r="AH33" i="39"/>
  <c r="AE33" i="39"/>
  <c r="AC62" i="31"/>
  <c r="AE62" i="31" s="1"/>
  <c r="AH62" i="31" s="1"/>
  <c r="AB62" i="31"/>
  <c r="AD62" i="31" s="1"/>
  <c r="AL59" i="34"/>
  <c r="AM59" i="34"/>
  <c r="Z60" i="34"/>
  <c r="AA59" i="34"/>
  <c r="AJ59" i="34"/>
  <c r="AK59" i="34"/>
  <c r="Z61" i="32"/>
  <c r="AJ60" i="32"/>
  <c r="AL60" i="32"/>
  <c r="AM60" i="32"/>
  <c r="AA60" i="32"/>
  <c r="AK60" i="32"/>
  <c r="M32" i="34"/>
  <c r="F36" i="34"/>
  <c r="O36" i="34"/>
  <c r="P36" i="34" s="1"/>
  <c r="Q36" i="34" s="1"/>
  <c r="AC32" i="31"/>
  <c r="M32" i="31" s="1"/>
  <c r="M31" i="37"/>
  <c r="V29" i="39"/>
  <c r="W29" i="39"/>
  <c r="AB32" i="38"/>
  <c r="K32" i="38" s="1"/>
  <c r="AR36" i="37"/>
  <c r="A37" i="37"/>
  <c r="B36" i="37"/>
  <c r="C36" i="37" s="1"/>
  <c r="D36" i="37"/>
  <c r="AQ36" i="37"/>
  <c r="AO36" i="37"/>
  <c r="AP36" i="37"/>
  <c r="E36" i="37"/>
  <c r="G36" i="37"/>
  <c r="L30" i="32"/>
  <c r="AA30" i="32"/>
  <c r="N30" i="32"/>
  <c r="Z61" i="33"/>
  <c r="AA60" i="33"/>
  <c r="AJ60" i="33"/>
  <c r="AK60" i="33"/>
  <c r="AL60" i="33"/>
  <c r="AM60" i="33"/>
  <c r="T28" i="27"/>
  <c r="E36" i="38"/>
  <c r="AO36" i="38"/>
  <c r="AP36" i="38"/>
  <c r="B36" i="38"/>
  <c r="C36" i="38" s="1"/>
  <c r="D36" i="38"/>
  <c r="G36" i="38"/>
  <c r="AQ36" i="38"/>
  <c r="AR36" i="38"/>
  <c r="A37" i="38"/>
  <c r="AG58" i="32"/>
  <c r="AF58" i="32"/>
  <c r="AI58" i="32" s="1"/>
  <c r="R28" i="35"/>
  <c r="F35" i="27"/>
  <c r="O35" i="27"/>
  <c r="P35" i="27" s="1"/>
  <c r="Q35" i="27" s="1"/>
  <c r="H33" i="36"/>
  <c r="I33" i="36" s="1"/>
  <c r="AK33" i="36"/>
  <c r="B35" i="36"/>
  <c r="C35" i="36" s="1"/>
  <c r="AO35" i="36"/>
  <c r="D35" i="36"/>
  <c r="AP35" i="36"/>
  <c r="E35" i="36"/>
  <c r="AQ35" i="36"/>
  <c r="AR35" i="36"/>
  <c r="A36" i="36"/>
  <c r="G35" i="36"/>
  <c r="AC31" i="32"/>
  <c r="M31" i="32" s="1"/>
  <c r="L31" i="35"/>
  <c r="AA31" i="35"/>
  <c r="N31" i="35"/>
  <c r="U30" i="39"/>
  <c r="Z62" i="27"/>
  <c r="AJ61" i="27"/>
  <c r="AK61" i="27"/>
  <c r="AL61" i="27"/>
  <c r="AM61" i="27"/>
  <c r="AA61" i="27"/>
  <c r="AF58" i="33"/>
  <c r="AI58" i="33" s="1"/>
  <c r="AG58" i="33"/>
  <c r="AK61" i="35"/>
  <c r="AL61" i="35"/>
  <c r="AM61" i="35"/>
  <c r="Z62" i="35"/>
  <c r="AA61" i="35"/>
  <c r="AJ61" i="35"/>
  <c r="AC60" i="35"/>
  <c r="AE60" i="35" s="1"/>
  <c r="AH60" i="35" s="1"/>
  <c r="AB60" i="35"/>
  <c r="AD60" i="35" s="1"/>
  <c r="AC59" i="32"/>
  <c r="AE59" i="32" s="1"/>
  <c r="AH59" i="32" s="1"/>
  <c r="AB59" i="32"/>
  <c r="AD59" i="32" s="1"/>
  <c r="R31" i="38"/>
  <c r="AD32" i="31"/>
  <c r="AD32" i="38"/>
  <c r="S29" i="36"/>
  <c r="AL60" i="38"/>
  <c r="AM60" i="38"/>
  <c r="AA60" i="38"/>
  <c r="AJ60" i="38"/>
  <c r="AK60" i="38"/>
  <c r="Z61" i="38"/>
  <c r="AO36" i="31"/>
  <c r="AR36" i="31"/>
  <c r="A37" i="31"/>
  <c r="D36" i="31"/>
  <c r="E36" i="31"/>
  <c r="G36" i="31"/>
  <c r="B36" i="31"/>
  <c r="C36" i="31" s="1"/>
  <c r="AQ36" i="31"/>
  <c r="AP36" i="31"/>
  <c r="B35" i="35"/>
  <c r="C35" i="35" s="1"/>
  <c r="D35" i="35"/>
  <c r="G35" i="35"/>
  <c r="AO35" i="35"/>
  <c r="AP35" i="35"/>
  <c r="AQ35" i="35"/>
  <c r="AR35" i="35"/>
  <c r="A36" i="35"/>
  <c r="E35" i="35"/>
  <c r="AB59" i="33"/>
  <c r="AD59" i="33" s="1"/>
  <c r="AC59" i="33"/>
  <c r="AE59" i="33" s="1"/>
  <c r="AH59" i="33" s="1"/>
  <c r="AK34" i="31"/>
  <c r="H34" i="31"/>
  <c r="I34" i="31" s="1"/>
  <c r="S32" i="34"/>
  <c r="R32" i="34"/>
  <c r="T32" i="34" s="1"/>
  <c r="AK35" i="34"/>
  <c r="H35" i="34"/>
  <c r="I35" i="34" s="1"/>
  <c r="AF58" i="38"/>
  <c r="AI58" i="38" s="1"/>
  <c r="AG58" i="38"/>
  <c r="H34" i="37"/>
  <c r="I34" i="37" s="1"/>
  <c r="AK34" i="37"/>
  <c r="AG59" i="27"/>
  <c r="AF59" i="27"/>
  <c r="AI59" i="27" s="1"/>
  <c r="E37" i="34"/>
  <c r="AO37" i="34"/>
  <c r="AP37" i="34"/>
  <c r="B37" i="34"/>
  <c r="C37" i="34" s="1"/>
  <c r="D37" i="34"/>
  <c r="AQ37" i="34"/>
  <c r="A38" i="34"/>
  <c r="AR37" i="34"/>
  <c r="G37" i="34"/>
  <c r="AH33" i="31"/>
  <c r="AG33" i="31"/>
  <c r="AC33" i="31" s="1"/>
  <c r="AF33" i="31"/>
  <c r="AI33" i="31"/>
  <c r="AD33" i="31" s="1"/>
  <c r="AE33" i="31"/>
  <c r="AB33" i="31" s="1"/>
  <c r="Y33" i="31"/>
  <c r="Z33" i="31" s="1"/>
  <c r="J33" i="31" s="1"/>
  <c r="AJ33" i="31"/>
  <c r="R29" i="32"/>
  <c r="S29" i="32" s="1"/>
  <c r="T29" i="32" s="1"/>
  <c r="K32" i="27"/>
  <c r="L31" i="37"/>
  <c r="AA31" i="37"/>
  <c r="N31" i="37"/>
  <c r="AD31" i="36"/>
  <c r="M32" i="39"/>
  <c r="AB58" i="34"/>
  <c r="AD58" i="34" s="1"/>
  <c r="AC58" i="34"/>
  <c r="AE58" i="34" s="1"/>
  <c r="AH58" i="34" s="1"/>
  <c r="F34" i="33"/>
  <c r="O34" i="33"/>
  <c r="P34" i="33" s="1"/>
  <c r="Q34" i="33" s="1"/>
  <c r="S30" i="31"/>
  <c r="AD32" i="37"/>
  <c r="H34" i="38"/>
  <c r="I34" i="38" s="1"/>
  <c r="AK34" i="38"/>
  <c r="R28" i="33"/>
  <c r="S28" i="33" s="1"/>
  <c r="AE32" i="32"/>
  <c r="Y32" i="32"/>
  <c r="Z32" i="32" s="1"/>
  <c r="J32" i="32" s="1"/>
  <c r="AI32" i="32"/>
  <c r="AG32" i="32"/>
  <c r="AJ32" i="32"/>
  <c r="AF32" i="32"/>
  <c r="AH32" i="32"/>
  <c r="T30" i="37"/>
  <c r="U30" i="37"/>
  <c r="U29" i="32" l="1"/>
  <c r="V30" i="39"/>
  <c r="W30" i="39"/>
  <c r="U28" i="33"/>
  <c r="U30" i="36"/>
  <c r="T30" i="36"/>
  <c r="X31" i="34"/>
  <c r="V30" i="27"/>
  <c r="W30" i="27"/>
  <c r="V32" i="34"/>
  <c r="W32" i="34"/>
  <c r="V28" i="36"/>
  <c r="W28" i="36"/>
  <c r="AO28" i="36" s="1"/>
  <c r="T29" i="33"/>
  <c r="U29" i="33"/>
  <c r="V30" i="37"/>
  <c r="W30" i="37"/>
  <c r="AJ61" i="33"/>
  <c r="AL61" i="33"/>
  <c r="AM61" i="33"/>
  <c r="AA61" i="33"/>
  <c r="AK61" i="33"/>
  <c r="Z62" i="33"/>
  <c r="L32" i="35"/>
  <c r="AA32" i="35"/>
  <c r="N32" i="35"/>
  <c r="R32" i="27"/>
  <c r="H34" i="33"/>
  <c r="I34" i="33" s="1"/>
  <c r="AK34" i="33"/>
  <c r="U29" i="35"/>
  <c r="AL64" i="31"/>
  <c r="AM64" i="31"/>
  <c r="AK64" i="31"/>
  <c r="Z65" i="31"/>
  <c r="AJ64" i="31"/>
  <c r="AA64" i="31"/>
  <c r="F36" i="38"/>
  <c r="O36" i="38"/>
  <c r="P36" i="38" s="1"/>
  <c r="Q36" i="38" s="1"/>
  <c r="S31" i="34"/>
  <c r="T31" i="34" s="1"/>
  <c r="AC32" i="35"/>
  <c r="AD32" i="32"/>
  <c r="AP36" i="32"/>
  <c r="AQ36" i="32"/>
  <c r="B36" i="32"/>
  <c r="C36" i="32" s="1"/>
  <c r="AO36" i="32"/>
  <c r="AR36" i="32"/>
  <c r="A37" i="32"/>
  <c r="E36" i="32"/>
  <c r="D36" i="32"/>
  <c r="G36" i="32"/>
  <c r="K33" i="31"/>
  <c r="AQ36" i="36"/>
  <c r="B36" i="36"/>
  <c r="C36" i="36" s="1"/>
  <c r="AO36" i="36"/>
  <c r="AR36" i="36"/>
  <c r="A37" i="36"/>
  <c r="D36" i="36"/>
  <c r="E36" i="36"/>
  <c r="AP36" i="36"/>
  <c r="G36" i="36"/>
  <c r="AC60" i="32"/>
  <c r="AE60" i="32" s="1"/>
  <c r="AH60" i="32" s="1"/>
  <c r="AB60" i="32"/>
  <c r="AD60" i="32" s="1"/>
  <c r="AF58" i="37"/>
  <c r="AI58" i="37" s="1"/>
  <c r="AG58" i="37"/>
  <c r="AK35" i="37"/>
  <c r="H35" i="37"/>
  <c r="I35" i="37" s="1"/>
  <c r="F35" i="32"/>
  <c r="O35" i="32"/>
  <c r="P35" i="32" s="1"/>
  <c r="Q35" i="32" s="1"/>
  <c r="V28" i="32"/>
  <c r="W28" i="32"/>
  <c r="AO28" i="32" s="1"/>
  <c r="AJ34" i="39"/>
  <c r="AE34" i="39"/>
  <c r="AF34" i="39"/>
  <c r="Y34" i="39"/>
  <c r="Z34" i="39" s="1"/>
  <c r="J34" i="39" s="1"/>
  <c r="AG34" i="39"/>
  <c r="AI34" i="39"/>
  <c r="AD34" i="39" s="1"/>
  <c r="AH34" i="39"/>
  <c r="L33" i="31"/>
  <c r="AA33" i="31"/>
  <c r="N33" i="31"/>
  <c r="R30" i="32"/>
  <c r="S30" i="32" s="1"/>
  <c r="R31" i="31"/>
  <c r="S31" i="31" s="1"/>
  <c r="R31" i="37"/>
  <c r="T30" i="31"/>
  <c r="AC33" i="38"/>
  <c r="AF34" i="37"/>
  <c r="Y34" i="37"/>
  <c r="Z34" i="37" s="1"/>
  <c r="J34" i="37" s="1"/>
  <c r="AI34" i="37"/>
  <c r="AJ34" i="37"/>
  <c r="AE34" i="37"/>
  <c r="AB34" i="37" s="1"/>
  <c r="K34" i="37" s="1"/>
  <c r="AG34" i="37"/>
  <c r="AH34" i="37"/>
  <c r="V28" i="27"/>
  <c r="W28" i="27"/>
  <c r="AO28" i="27" s="1"/>
  <c r="K32" i="36"/>
  <c r="AB32" i="32"/>
  <c r="K32" i="32" s="1"/>
  <c r="AK35" i="38"/>
  <c r="H35" i="38"/>
  <c r="I35" i="38" s="1"/>
  <c r="G37" i="27"/>
  <c r="AQ37" i="27"/>
  <c r="D37" i="27"/>
  <c r="E37" i="27"/>
  <c r="B37" i="27"/>
  <c r="C37" i="27" s="1"/>
  <c r="A38" i="27"/>
  <c r="AO37" i="27"/>
  <c r="AP37" i="27"/>
  <c r="AR37" i="27"/>
  <c r="U30" i="35"/>
  <c r="AI33" i="32"/>
  <c r="AF33" i="32"/>
  <c r="Y33" i="32"/>
  <c r="Z33" i="32" s="1"/>
  <c r="J33" i="32" s="1"/>
  <c r="AE33" i="32"/>
  <c r="AB33" i="32" s="1"/>
  <c r="K33" i="32" s="1"/>
  <c r="AG33" i="32"/>
  <c r="AJ33" i="32"/>
  <c r="AH33" i="32"/>
  <c r="L33" i="37"/>
  <c r="AA33" i="37"/>
  <c r="N33" i="37"/>
  <c r="AC32" i="36"/>
  <c r="M32" i="36" s="1"/>
  <c r="AG60" i="39"/>
  <c r="AF60" i="39"/>
  <c r="AI60" i="39" s="1"/>
  <c r="S30" i="38"/>
  <c r="AJ61" i="36"/>
  <c r="Z62" i="36"/>
  <c r="AK61" i="36"/>
  <c r="AL61" i="36"/>
  <c r="AM61" i="36"/>
  <c r="AA61" i="36"/>
  <c r="AB33" i="38"/>
  <c r="K33" i="38" s="1"/>
  <c r="M32" i="27"/>
  <c r="L32" i="38"/>
  <c r="AA32" i="38"/>
  <c r="N32" i="38"/>
  <c r="T29" i="36"/>
  <c r="L31" i="36"/>
  <c r="AA31" i="36"/>
  <c r="N31" i="36"/>
  <c r="AB34" i="34"/>
  <c r="K34" i="34" s="1"/>
  <c r="S28" i="35"/>
  <c r="T28" i="35" s="1"/>
  <c r="M33" i="31"/>
  <c r="AB61" i="35"/>
  <c r="AD61" i="35" s="1"/>
  <c r="AC61" i="35"/>
  <c r="AE61" i="35" s="1"/>
  <c r="AH61" i="35" s="1"/>
  <c r="F35" i="33"/>
  <c r="O35" i="33"/>
  <c r="P35" i="33" s="1"/>
  <c r="Q35" i="33" s="1"/>
  <c r="E38" i="34"/>
  <c r="D38" i="34"/>
  <c r="AO38" i="34"/>
  <c r="AO39" i="34" s="1"/>
  <c r="W3" i="34" s="1"/>
  <c r="X32" i="34" s="1"/>
  <c r="AP38" i="34"/>
  <c r="AP39" i="34" s="1"/>
  <c r="AR38" i="34"/>
  <c r="AR39" i="34" s="1"/>
  <c r="AQ38" i="34"/>
  <c r="AQ39" i="34" s="1"/>
  <c r="W11" i="34" s="1"/>
  <c r="B38" i="34"/>
  <c r="C38" i="34" s="1"/>
  <c r="G38" i="34"/>
  <c r="AB33" i="39"/>
  <c r="K33" i="39" s="1"/>
  <c r="M33" i="39" s="1"/>
  <c r="AF59" i="36"/>
  <c r="AI59" i="36" s="1"/>
  <c r="AG59" i="36"/>
  <c r="F36" i="39"/>
  <c r="O36" i="39"/>
  <c r="P36" i="39" s="1"/>
  <c r="Q36" i="39" s="1"/>
  <c r="H35" i="31"/>
  <c r="I35" i="31" s="1"/>
  <c r="AK35" i="31"/>
  <c r="AA32" i="36"/>
  <c r="L32" i="36"/>
  <c r="N32" i="36"/>
  <c r="AD33" i="38"/>
  <c r="T28" i="33"/>
  <c r="AA32" i="37"/>
  <c r="L32" i="37"/>
  <c r="N32" i="37"/>
  <c r="F36" i="31"/>
  <c r="O36" i="31"/>
  <c r="P36" i="31" s="1"/>
  <c r="Q36" i="31" s="1"/>
  <c r="L31" i="33"/>
  <c r="AA31" i="33"/>
  <c r="N31" i="33"/>
  <c r="AC59" i="37"/>
  <c r="AE59" i="37" s="1"/>
  <c r="AH59" i="37" s="1"/>
  <c r="AB59" i="37"/>
  <c r="AD59" i="37" s="1"/>
  <c r="AF60" i="27"/>
  <c r="AI60" i="27" s="1"/>
  <c r="AG60" i="27"/>
  <c r="V27" i="32"/>
  <c r="W27" i="32"/>
  <c r="S31" i="27"/>
  <c r="AC32" i="32"/>
  <c r="M32" i="32" s="1"/>
  <c r="L32" i="31"/>
  <c r="AA32" i="31"/>
  <c r="N32" i="31"/>
  <c r="M31" i="35"/>
  <c r="AG62" i="31"/>
  <c r="AF62" i="31"/>
  <c r="AI62" i="31" s="1"/>
  <c r="D36" i="33"/>
  <c r="G36" i="33"/>
  <c r="AO36" i="33"/>
  <c r="AP36" i="33"/>
  <c r="AQ36" i="33"/>
  <c r="B36" i="33"/>
  <c r="C36" i="33" s="1"/>
  <c r="AR36" i="33"/>
  <c r="A37" i="33"/>
  <c r="E36" i="33"/>
  <c r="AB32" i="35"/>
  <c r="K32" i="35" s="1"/>
  <c r="R30" i="33"/>
  <c r="F35" i="36"/>
  <c r="O35" i="36"/>
  <c r="P35" i="36" s="1"/>
  <c r="Q35" i="36" s="1"/>
  <c r="AK35" i="39"/>
  <c r="H35" i="39"/>
  <c r="I35" i="39" s="1"/>
  <c r="U28" i="35"/>
  <c r="AJ35" i="34"/>
  <c r="AF35" i="34"/>
  <c r="Y35" i="34"/>
  <c r="Z35" i="34" s="1"/>
  <c r="J35" i="34" s="1"/>
  <c r="AG35" i="34"/>
  <c r="AC35" i="34" s="1"/>
  <c r="AH35" i="34"/>
  <c r="AI35" i="34"/>
  <c r="AE35" i="34"/>
  <c r="AF59" i="33"/>
  <c r="AI59" i="33" s="1"/>
  <c r="AG59" i="33"/>
  <c r="AB60" i="38"/>
  <c r="AD60" i="38" s="1"/>
  <c r="AC60" i="38"/>
  <c r="AE60" i="38" s="1"/>
  <c r="AH60" i="38" s="1"/>
  <c r="AF59" i="32"/>
  <c r="AI59" i="32" s="1"/>
  <c r="AG59" i="32"/>
  <c r="S31" i="35"/>
  <c r="R31" i="35"/>
  <c r="A38" i="38"/>
  <c r="B37" i="38"/>
  <c r="C37" i="38" s="1"/>
  <c r="AR37" i="38"/>
  <c r="D37" i="38"/>
  <c r="E37" i="38"/>
  <c r="AO37" i="38"/>
  <c r="AP37" i="38"/>
  <c r="AQ37" i="38"/>
  <c r="G37" i="38"/>
  <c r="F36" i="37"/>
  <c r="O36" i="37"/>
  <c r="P36" i="37" s="1"/>
  <c r="Q36" i="37" s="1"/>
  <c r="AB59" i="34"/>
  <c r="AD59" i="34" s="1"/>
  <c r="AQ59" i="34"/>
  <c r="AS59" i="34" s="1"/>
  <c r="AV59" i="34" s="1"/>
  <c r="AP59" i="34"/>
  <c r="AR59" i="34" s="1"/>
  <c r="AC59" i="34"/>
  <c r="AE59" i="34" s="1"/>
  <c r="AH59" i="34" s="1"/>
  <c r="AG59" i="38"/>
  <c r="AF59" i="38"/>
  <c r="AI59" i="38" s="1"/>
  <c r="U30" i="27"/>
  <c r="S30" i="35"/>
  <c r="R30" i="35"/>
  <c r="T30" i="35" s="1"/>
  <c r="H34" i="36"/>
  <c r="I34" i="36" s="1"/>
  <c r="AK34" i="36"/>
  <c r="V28" i="37"/>
  <c r="W28" i="37"/>
  <c r="AO28" i="37" s="1"/>
  <c r="AB60" i="36"/>
  <c r="AD60" i="36" s="1"/>
  <c r="AC60" i="36"/>
  <c r="AE60" i="36" s="1"/>
  <c r="AH60" i="36" s="1"/>
  <c r="L33" i="39"/>
  <c r="AA33" i="39"/>
  <c r="N33" i="39"/>
  <c r="H34" i="32"/>
  <c r="I34" i="32" s="1"/>
  <c r="AK34" i="32"/>
  <c r="AG34" i="31"/>
  <c r="AC34" i="31" s="1"/>
  <c r="AI34" i="31"/>
  <c r="AE34" i="31"/>
  <c r="AB34" i="31" s="1"/>
  <c r="AJ34" i="31"/>
  <c r="Y34" i="31"/>
  <c r="Z34" i="31" s="1"/>
  <c r="J34" i="31" s="1"/>
  <c r="AF34" i="31"/>
  <c r="AH34" i="31"/>
  <c r="AK35" i="27"/>
  <c r="H35" i="27"/>
  <c r="I35" i="27" s="1"/>
  <c r="H34" i="35"/>
  <c r="I34" i="35" s="1"/>
  <c r="AK34" i="35"/>
  <c r="AG34" i="27"/>
  <c r="AF34" i="27"/>
  <c r="Y34" i="27"/>
  <c r="Z34" i="27" s="1"/>
  <c r="J34" i="27" s="1"/>
  <c r="AJ34" i="27"/>
  <c r="AI34" i="27"/>
  <c r="AD34" i="27" s="1"/>
  <c r="AE34" i="27"/>
  <c r="AB34" i="27" s="1"/>
  <c r="K34" i="27" s="1"/>
  <c r="AH34" i="27"/>
  <c r="U32" i="34"/>
  <c r="U29" i="36"/>
  <c r="AA33" i="27"/>
  <c r="L33" i="27"/>
  <c r="N33" i="27"/>
  <c r="V29" i="32"/>
  <c r="W29" i="32"/>
  <c r="M32" i="38"/>
  <c r="F35" i="35"/>
  <c r="O35" i="35"/>
  <c r="P35" i="35" s="1"/>
  <c r="Q35" i="35" s="1"/>
  <c r="U30" i="31"/>
  <c r="Z63" i="35"/>
  <c r="AJ62" i="35"/>
  <c r="AA62" i="35"/>
  <c r="AK62" i="35"/>
  <c r="AL62" i="35"/>
  <c r="AM62" i="35"/>
  <c r="AD34" i="34"/>
  <c r="Y33" i="33"/>
  <c r="Z33" i="33" s="1"/>
  <c r="J33" i="33" s="1"/>
  <c r="AI33" i="33"/>
  <c r="AD33" i="33" s="1"/>
  <c r="AE33" i="33"/>
  <c r="AF33" i="33"/>
  <c r="AJ33" i="33"/>
  <c r="AG33" i="33"/>
  <c r="AC33" i="33" s="1"/>
  <c r="AH33" i="33"/>
  <c r="AA61" i="38"/>
  <c r="Z62" i="38"/>
  <c r="AJ61" i="38"/>
  <c r="AK61" i="38"/>
  <c r="AL61" i="38"/>
  <c r="AM61" i="38"/>
  <c r="AG58" i="34"/>
  <c r="AF58" i="34"/>
  <c r="AI58" i="34" s="1"/>
  <c r="F37" i="34"/>
  <c r="O37" i="34"/>
  <c r="P37" i="34" s="1"/>
  <c r="Q37" i="34" s="1"/>
  <c r="AK60" i="34"/>
  <c r="AJ60" i="34"/>
  <c r="Z61" i="34"/>
  <c r="AA60" i="34"/>
  <c r="AL60" i="34"/>
  <c r="AM60" i="34"/>
  <c r="R31" i="39"/>
  <c r="S31" i="39" s="1"/>
  <c r="Z63" i="39"/>
  <c r="AK62" i="39"/>
  <c r="AL62" i="39"/>
  <c r="AM62" i="39"/>
  <c r="AA62" i="39"/>
  <c r="AJ62" i="39"/>
  <c r="M33" i="34"/>
  <c r="AC33" i="27"/>
  <c r="K33" i="37"/>
  <c r="M33" i="37" s="1"/>
  <c r="AC63" i="31"/>
  <c r="AE63" i="31" s="1"/>
  <c r="AH63" i="31" s="1"/>
  <c r="AB63" i="31"/>
  <c r="AD63" i="31" s="1"/>
  <c r="T29" i="35"/>
  <c r="V29" i="37"/>
  <c r="W29" i="37"/>
  <c r="AC61" i="39"/>
  <c r="AE61" i="39" s="1"/>
  <c r="AH61" i="39" s="1"/>
  <c r="AB61" i="39"/>
  <c r="AD61" i="39" s="1"/>
  <c r="AA60" i="37"/>
  <c r="Z61" i="37"/>
  <c r="AK60" i="37"/>
  <c r="AL60" i="37"/>
  <c r="AM60" i="37"/>
  <c r="AJ60" i="37"/>
  <c r="D37" i="31"/>
  <c r="E37" i="31"/>
  <c r="B37" i="31"/>
  <c r="C37" i="31" s="1"/>
  <c r="AO37" i="31"/>
  <c r="AP37" i="31"/>
  <c r="A38" i="31"/>
  <c r="G37" i="31"/>
  <c r="AQ37" i="31"/>
  <c r="AR37" i="31"/>
  <c r="L32" i="33"/>
  <c r="AA32" i="33"/>
  <c r="N32" i="33"/>
  <c r="AG33" i="35"/>
  <c r="AH33" i="35"/>
  <c r="Y33" i="35"/>
  <c r="Z33" i="35" s="1"/>
  <c r="J33" i="35" s="1"/>
  <c r="AJ33" i="35"/>
  <c r="AI33" i="35"/>
  <c r="AD33" i="35" s="1"/>
  <c r="AE33" i="35"/>
  <c r="AF33" i="35"/>
  <c r="AC32" i="33"/>
  <c r="M32" i="33" s="1"/>
  <c r="AP37" i="39"/>
  <c r="A38" i="39"/>
  <c r="D37" i="39"/>
  <c r="AR37" i="39"/>
  <c r="B37" i="39"/>
  <c r="C37" i="39" s="1"/>
  <c r="E37" i="39"/>
  <c r="G37" i="39"/>
  <c r="AQ37" i="39"/>
  <c r="AO37" i="39"/>
  <c r="S31" i="38"/>
  <c r="U31" i="38" s="1"/>
  <c r="AB61" i="27"/>
  <c r="AD61" i="27" s="1"/>
  <c r="AC61" i="27"/>
  <c r="AE61" i="27" s="1"/>
  <c r="AH61" i="27" s="1"/>
  <c r="AM61" i="32"/>
  <c r="AA61" i="32"/>
  <c r="Z62" i="32"/>
  <c r="AJ61" i="32"/>
  <c r="AK61" i="32"/>
  <c r="AL61" i="32"/>
  <c r="F36" i="27"/>
  <c r="O36" i="27"/>
  <c r="P36" i="27" s="1"/>
  <c r="Q36" i="27" s="1"/>
  <c r="AE34" i="38"/>
  <c r="AI34" i="38"/>
  <c r="AH34" i="38"/>
  <c r="Y34" i="38"/>
  <c r="Z34" i="38" s="1"/>
  <c r="J34" i="38" s="1"/>
  <c r="AJ34" i="38"/>
  <c r="AF34" i="38"/>
  <c r="AG34" i="38"/>
  <c r="AC34" i="38" s="1"/>
  <c r="D36" i="35"/>
  <c r="E36" i="35"/>
  <c r="AO36" i="35"/>
  <c r="B36" i="35"/>
  <c r="C36" i="35" s="1"/>
  <c r="G36" i="35"/>
  <c r="AP36" i="35"/>
  <c r="AQ36" i="35"/>
  <c r="AR36" i="35"/>
  <c r="A37" i="35"/>
  <c r="AF60" i="35"/>
  <c r="AI60" i="35" s="1"/>
  <c r="AG60" i="35"/>
  <c r="AM62" i="27"/>
  <c r="Z63" i="27"/>
  <c r="AK62" i="27"/>
  <c r="AL62" i="27"/>
  <c r="AJ62" i="27"/>
  <c r="AA62" i="27"/>
  <c r="AF33" i="36"/>
  <c r="Y33" i="36"/>
  <c r="Z33" i="36" s="1"/>
  <c r="J33" i="36" s="1"/>
  <c r="AE33" i="36"/>
  <c r="AB33" i="36" s="1"/>
  <c r="K33" i="36" s="1"/>
  <c r="AJ33" i="36"/>
  <c r="AI33" i="36"/>
  <c r="AD33" i="36" s="1"/>
  <c r="AH33" i="36"/>
  <c r="AG33" i="36"/>
  <c r="AC33" i="36" s="1"/>
  <c r="M33" i="36" s="1"/>
  <c r="AB60" i="33"/>
  <c r="AD60" i="33" s="1"/>
  <c r="AC60" i="33"/>
  <c r="AE60" i="33" s="1"/>
  <c r="AH60" i="33" s="1"/>
  <c r="D37" i="37"/>
  <c r="AQ37" i="37"/>
  <c r="E37" i="37"/>
  <c r="AR37" i="37"/>
  <c r="A38" i="37"/>
  <c r="B37" i="37"/>
  <c r="C37" i="37" s="1"/>
  <c r="AO37" i="37"/>
  <c r="AP37" i="37"/>
  <c r="G37" i="37"/>
  <c r="AK36" i="34"/>
  <c r="H36" i="34"/>
  <c r="I36" i="34" s="1"/>
  <c r="AC34" i="34"/>
  <c r="M34" i="34" s="1"/>
  <c r="AB33" i="27"/>
  <c r="K33" i="27" s="1"/>
  <c r="S32" i="39"/>
  <c r="R32" i="39"/>
  <c r="R33" i="34"/>
  <c r="R31" i="32"/>
  <c r="AC33" i="32" l="1"/>
  <c r="M33" i="32" s="1"/>
  <c r="U31" i="39"/>
  <c r="T31" i="39"/>
  <c r="T30" i="32"/>
  <c r="U30" i="32"/>
  <c r="V31" i="34"/>
  <c r="W31" i="34"/>
  <c r="T31" i="37"/>
  <c r="V30" i="35"/>
  <c r="W30" i="35"/>
  <c r="V28" i="35"/>
  <c r="W28" i="35"/>
  <c r="AO28" i="35" s="1"/>
  <c r="AC34" i="37"/>
  <c r="M34" i="37" s="1"/>
  <c r="V28" i="33"/>
  <c r="W28" i="33"/>
  <c r="AO28" i="33" s="1"/>
  <c r="AP62" i="39"/>
  <c r="AR62" i="39" s="1"/>
  <c r="AB62" i="39"/>
  <c r="AD62" i="39" s="1"/>
  <c r="AC62" i="39"/>
  <c r="AE62" i="39" s="1"/>
  <c r="AH62" i="39" s="1"/>
  <c r="R31" i="36"/>
  <c r="S31" i="36" s="1"/>
  <c r="Y34" i="33"/>
  <c r="Z34" i="33" s="1"/>
  <c r="J34" i="33" s="1"/>
  <c r="AE34" i="33"/>
  <c r="AH34" i="33"/>
  <c r="AI34" i="33"/>
  <c r="AJ34" i="33"/>
  <c r="AG34" i="33"/>
  <c r="AC34" i="33" s="1"/>
  <c r="AF34" i="33"/>
  <c r="E37" i="36"/>
  <c r="AR37" i="36"/>
  <c r="A38" i="36"/>
  <c r="D37" i="36"/>
  <c r="AO37" i="36"/>
  <c r="B37" i="36"/>
  <c r="C37" i="36" s="1"/>
  <c r="AQ37" i="36"/>
  <c r="AP37" i="36"/>
  <c r="G37" i="36"/>
  <c r="S32" i="38"/>
  <c r="T32" i="38" s="1"/>
  <c r="R32" i="38"/>
  <c r="X32" i="38" s="1"/>
  <c r="AJ65" i="31"/>
  <c r="AA65" i="31"/>
  <c r="AK65" i="31"/>
  <c r="AL65" i="31"/>
  <c r="AM65" i="31"/>
  <c r="Z66" i="31"/>
  <c r="T32" i="27"/>
  <c r="AR37" i="33"/>
  <c r="D37" i="33"/>
  <c r="AQ37" i="33"/>
  <c r="E37" i="33"/>
  <c r="A38" i="33"/>
  <c r="AO37" i="33"/>
  <c r="AP37" i="33"/>
  <c r="G37" i="33"/>
  <c r="B37" i="33"/>
  <c r="C37" i="33" s="1"/>
  <c r="B37" i="32"/>
  <c r="C37" i="32" s="1"/>
  <c r="AR37" i="32"/>
  <c r="A38" i="32"/>
  <c r="AQ37" i="32"/>
  <c r="D37" i="32"/>
  <c r="E37" i="32"/>
  <c r="G37" i="32"/>
  <c r="AO37" i="32"/>
  <c r="AP37" i="32"/>
  <c r="AA33" i="33"/>
  <c r="L33" i="33"/>
  <c r="N33" i="33"/>
  <c r="F37" i="27"/>
  <c r="O37" i="27"/>
  <c r="P37" i="27" s="1"/>
  <c r="Q37" i="27" s="1"/>
  <c r="AC34" i="39"/>
  <c r="M34" i="39" s="1"/>
  <c r="Z63" i="38"/>
  <c r="AM62" i="38"/>
  <c r="AA62" i="38"/>
  <c r="AJ62" i="38"/>
  <c r="AK62" i="38"/>
  <c r="AL62" i="38"/>
  <c r="X31" i="37"/>
  <c r="R32" i="35"/>
  <c r="V30" i="36"/>
  <c r="W30" i="36"/>
  <c r="K34" i="31"/>
  <c r="AL62" i="36"/>
  <c r="AA62" i="36"/>
  <c r="AM62" i="36"/>
  <c r="Z63" i="36"/>
  <c r="AK62" i="36"/>
  <c r="AJ62" i="36"/>
  <c r="F36" i="36"/>
  <c r="O36" i="36"/>
  <c r="P36" i="36" s="1"/>
  <c r="Q36" i="36" s="1"/>
  <c r="G37" i="35"/>
  <c r="AQ37" i="35"/>
  <c r="AR37" i="35"/>
  <c r="A38" i="35"/>
  <c r="E37" i="35"/>
  <c r="AO37" i="35"/>
  <c r="AP37" i="35"/>
  <c r="B37" i="35"/>
  <c r="C37" i="35" s="1"/>
  <c r="D37" i="35"/>
  <c r="AF60" i="36"/>
  <c r="AI60" i="36" s="1"/>
  <c r="AG60" i="36"/>
  <c r="AB34" i="39"/>
  <c r="K34" i="39" s="1"/>
  <c r="T31" i="38"/>
  <c r="AA34" i="27"/>
  <c r="L34" i="27"/>
  <c r="N34" i="27"/>
  <c r="V29" i="36"/>
  <c r="W29" i="36"/>
  <c r="R31" i="33"/>
  <c r="S31" i="33" s="1"/>
  <c r="X31" i="38"/>
  <c r="S32" i="27"/>
  <c r="U32" i="27" s="1"/>
  <c r="AA62" i="32"/>
  <c r="AL62" i="32"/>
  <c r="AM62" i="32"/>
  <c r="AJ62" i="32"/>
  <c r="AK62" i="32"/>
  <c r="Z63" i="32"/>
  <c r="L34" i="34"/>
  <c r="AA34" i="34"/>
  <c r="N34" i="34"/>
  <c r="AD34" i="37"/>
  <c r="AR38" i="31"/>
  <c r="AR39" i="31" s="1"/>
  <c r="E38" i="31"/>
  <c r="D38" i="31"/>
  <c r="G38" i="31"/>
  <c r="AO38" i="31"/>
  <c r="AO39" i="31" s="1"/>
  <c r="W3" i="31" s="1"/>
  <c r="X31" i="31" s="1"/>
  <c r="AP38" i="31"/>
  <c r="AP39" i="31" s="1"/>
  <c r="B38" i="31"/>
  <c r="C38" i="31" s="1"/>
  <c r="AQ38" i="31"/>
  <c r="AQ39" i="31" s="1"/>
  <c r="AE35" i="38"/>
  <c r="AB35" i="38" s="1"/>
  <c r="K35" i="38" s="1"/>
  <c r="AI35" i="38"/>
  <c r="AG35" i="38"/>
  <c r="AC35" i="38" s="1"/>
  <c r="M35" i="38" s="1"/>
  <c r="AJ35" i="38"/>
  <c r="AH35" i="38"/>
  <c r="Y35" i="38"/>
  <c r="Z35" i="38" s="1"/>
  <c r="J35" i="38" s="1"/>
  <c r="AF35" i="38"/>
  <c r="AQ38" i="39"/>
  <c r="AQ39" i="39" s="1"/>
  <c r="B38" i="39"/>
  <c r="C38" i="39" s="1"/>
  <c r="AR38" i="39"/>
  <c r="AR39" i="39" s="1"/>
  <c r="D38" i="39"/>
  <c r="AP38" i="39"/>
  <c r="AP39" i="39" s="1"/>
  <c r="AO38" i="39"/>
  <c r="AO39" i="39" s="1"/>
  <c r="W3" i="39" s="1"/>
  <c r="X32" i="39" s="1"/>
  <c r="E38" i="39"/>
  <c r="G38" i="39"/>
  <c r="M33" i="27"/>
  <c r="R33" i="27"/>
  <c r="AJ34" i="35"/>
  <c r="AH34" i="35"/>
  <c r="Y34" i="35"/>
  <c r="Z34" i="35" s="1"/>
  <c r="J34" i="35" s="1"/>
  <c r="AF34" i="35"/>
  <c r="AI34" i="35"/>
  <c r="AD34" i="35" s="1"/>
  <c r="AE34" i="35"/>
  <c r="AB34" i="35" s="1"/>
  <c r="K34" i="35" s="1"/>
  <c r="AG34" i="35"/>
  <c r="AC34" i="35" s="1"/>
  <c r="M34" i="35" s="1"/>
  <c r="X33" i="39"/>
  <c r="AF59" i="34"/>
  <c r="AI59" i="34" s="1"/>
  <c r="AG59" i="34"/>
  <c r="T31" i="35"/>
  <c r="AB35" i="34"/>
  <c r="K35" i="34" s="1"/>
  <c r="H35" i="36"/>
  <c r="I35" i="36" s="1"/>
  <c r="AK35" i="36"/>
  <c r="O36" i="33"/>
  <c r="P36" i="33" s="1"/>
  <c r="Q36" i="33" s="1"/>
  <c r="F36" i="33"/>
  <c r="T31" i="31"/>
  <c r="T31" i="27"/>
  <c r="AF60" i="32"/>
  <c r="AI60" i="32" s="1"/>
  <c r="AG60" i="32"/>
  <c r="U31" i="31"/>
  <c r="F36" i="35"/>
  <c r="O36" i="35"/>
  <c r="P36" i="35" s="1"/>
  <c r="Q36" i="35" s="1"/>
  <c r="AB33" i="35"/>
  <c r="K33" i="35" s="1"/>
  <c r="S31" i="37"/>
  <c r="U31" i="37" s="1"/>
  <c r="AF63" i="31"/>
  <c r="AI63" i="31" s="1"/>
  <c r="AG63" i="31"/>
  <c r="AA34" i="39"/>
  <c r="L34" i="39"/>
  <c r="N34" i="39"/>
  <c r="F37" i="38"/>
  <c r="O37" i="38"/>
  <c r="P37" i="38" s="1"/>
  <c r="Q37" i="38" s="1"/>
  <c r="AB60" i="37"/>
  <c r="AD60" i="37" s="1"/>
  <c r="AC60" i="37"/>
  <c r="AE60" i="37" s="1"/>
  <c r="AH60" i="37" s="1"/>
  <c r="M34" i="31"/>
  <c r="X30" i="38"/>
  <c r="U30" i="38"/>
  <c r="AT59" i="34"/>
  <c r="AW59" i="34" s="1"/>
  <c r="AU59" i="34"/>
  <c r="S31" i="32"/>
  <c r="T31" i="32" s="1"/>
  <c r="AC33" i="35"/>
  <c r="M33" i="35" s="1"/>
  <c r="B38" i="38"/>
  <c r="C38" i="38" s="1"/>
  <c r="AR38" i="38"/>
  <c r="AR39" i="38" s="1"/>
  <c r="D38" i="38"/>
  <c r="E38" i="38"/>
  <c r="AO38" i="38"/>
  <c r="AO39" i="38" s="1"/>
  <c r="W3" i="38" s="1"/>
  <c r="AP38" i="38"/>
  <c r="AP39" i="38" s="1"/>
  <c r="AQ38" i="38"/>
  <c r="AQ39" i="38" s="1"/>
  <c r="W11" i="38" s="1"/>
  <c r="G38" i="38"/>
  <c r="U31" i="34"/>
  <c r="U33" i="34"/>
  <c r="U33" i="39"/>
  <c r="AB62" i="35"/>
  <c r="AD62" i="35" s="1"/>
  <c r="AC62" i="35"/>
  <c r="AE62" i="35" s="1"/>
  <c r="AH62" i="35" s="1"/>
  <c r="AF35" i="27"/>
  <c r="AG35" i="27"/>
  <c r="Y35" i="27"/>
  <c r="Z35" i="27" s="1"/>
  <c r="J35" i="27" s="1"/>
  <c r="AE35" i="27"/>
  <c r="AB35" i="27" s="1"/>
  <c r="K35" i="27" s="1"/>
  <c r="AH35" i="27"/>
  <c r="AI35" i="27"/>
  <c r="AJ35" i="27"/>
  <c r="S33" i="39"/>
  <c r="R33" i="39"/>
  <c r="AF34" i="36"/>
  <c r="AG34" i="36"/>
  <c r="AH34" i="36"/>
  <c r="AI34" i="36"/>
  <c r="AE34" i="36"/>
  <c r="AB34" i="36" s="1"/>
  <c r="Y34" i="36"/>
  <c r="Z34" i="36" s="1"/>
  <c r="J34" i="36" s="1"/>
  <c r="AJ34" i="36"/>
  <c r="AD35" i="34"/>
  <c r="AF35" i="31"/>
  <c r="AH35" i="31"/>
  <c r="Y35" i="31"/>
  <c r="Z35" i="31" s="1"/>
  <c r="J35" i="31" s="1"/>
  <c r="AI35" i="31"/>
  <c r="AE35" i="31"/>
  <c r="AJ35" i="31"/>
  <c r="AG35" i="31"/>
  <c r="AA62" i="33"/>
  <c r="AL62" i="33"/>
  <c r="AM62" i="33"/>
  <c r="AK62" i="33"/>
  <c r="Z63" i="33"/>
  <c r="AJ62" i="33"/>
  <c r="V29" i="33"/>
  <c r="W29" i="33"/>
  <c r="AK63" i="27"/>
  <c r="AA63" i="27"/>
  <c r="Z64" i="27"/>
  <c r="AJ63" i="27"/>
  <c r="AL63" i="27"/>
  <c r="AM63" i="27"/>
  <c r="R32" i="31"/>
  <c r="S32" i="31" s="1"/>
  <c r="AK35" i="35"/>
  <c r="H35" i="35"/>
  <c r="I35" i="35" s="1"/>
  <c r="AK36" i="38"/>
  <c r="H36" i="38"/>
  <c r="I36" i="38" s="1"/>
  <c r="AA33" i="35"/>
  <c r="L33" i="35"/>
  <c r="N33" i="35"/>
  <c r="AK35" i="32"/>
  <c r="H35" i="32"/>
  <c r="I35" i="32" s="1"/>
  <c r="AJ61" i="37"/>
  <c r="AK61" i="37"/>
  <c r="AL61" i="37"/>
  <c r="AM61" i="37"/>
  <c r="AA61" i="37"/>
  <c r="Z62" i="37"/>
  <c r="AD34" i="31"/>
  <c r="D38" i="37"/>
  <c r="AO38" i="37"/>
  <c r="AO39" i="37" s="1"/>
  <c r="W3" i="37" s="1"/>
  <c r="AR38" i="37"/>
  <c r="AR39" i="37" s="1"/>
  <c r="AP38" i="37"/>
  <c r="AP39" i="37" s="1"/>
  <c r="E38" i="37"/>
  <c r="AQ38" i="37"/>
  <c r="AQ39" i="37" s="1"/>
  <c r="W11" i="37" s="1"/>
  <c r="B38" i="37"/>
  <c r="C38" i="37" s="1"/>
  <c r="G38" i="37"/>
  <c r="AH35" i="39"/>
  <c r="AE35" i="39"/>
  <c r="Y35" i="39"/>
  <c r="Z35" i="39" s="1"/>
  <c r="J35" i="39" s="1"/>
  <c r="AI35" i="39"/>
  <c r="AJ35" i="39"/>
  <c r="AG35" i="39"/>
  <c r="AC35" i="39" s="1"/>
  <c r="AF35" i="39"/>
  <c r="AB61" i="32"/>
  <c r="AD61" i="32" s="1"/>
  <c r="AC61" i="32"/>
  <c r="AE61" i="32" s="1"/>
  <c r="AH61" i="32" s="1"/>
  <c r="AD33" i="32"/>
  <c r="F37" i="39"/>
  <c r="O37" i="39"/>
  <c r="P37" i="39" s="1"/>
  <c r="Q37" i="39" s="1"/>
  <c r="AC61" i="38"/>
  <c r="AE61" i="38" s="1"/>
  <c r="AH61" i="38" s="1"/>
  <c r="AB61" i="38"/>
  <c r="AD61" i="38" s="1"/>
  <c r="S33" i="34"/>
  <c r="F37" i="37"/>
  <c r="O37" i="37"/>
  <c r="P37" i="37" s="1"/>
  <c r="Q37" i="37" s="1"/>
  <c r="AB62" i="27"/>
  <c r="AD62" i="27" s="1"/>
  <c r="AC62" i="27"/>
  <c r="AE62" i="27" s="1"/>
  <c r="AH62" i="27" s="1"/>
  <c r="AP62" i="27"/>
  <c r="AR62" i="27" s="1"/>
  <c r="AD34" i="38"/>
  <c r="S32" i="33"/>
  <c r="R32" i="33"/>
  <c r="AB34" i="38"/>
  <c r="K34" i="38" s="1"/>
  <c r="M34" i="38" s="1"/>
  <c r="H37" i="34"/>
  <c r="I37" i="34" s="1"/>
  <c r="AK37" i="34"/>
  <c r="H36" i="37"/>
  <c r="I36" i="37" s="1"/>
  <c r="AK36" i="37"/>
  <c r="S30" i="33"/>
  <c r="T30" i="33" s="1"/>
  <c r="R33" i="37"/>
  <c r="AA32" i="32"/>
  <c r="L32" i="32"/>
  <c r="N32" i="32"/>
  <c r="F38" i="34"/>
  <c r="O38" i="34"/>
  <c r="P38" i="34" s="1"/>
  <c r="Q38" i="34" s="1"/>
  <c r="AB33" i="33"/>
  <c r="K33" i="33" s="1"/>
  <c r="R32" i="37"/>
  <c r="S32" i="37" s="1"/>
  <c r="AG60" i="38"/>
  <c r="AF60" i="38"/>
  <c r="AI60" i="38" s="1"/>
  <c r="AC64" i="31"/>
  <c r="AE64" i="31" s="1"/>
  <c r="AH64" i="31" s="1"/>
  <c r="AP64" i="31"/>
  <c r="AR64" i="31" s="1"/>
  <c r="AB64" i="31"/>
  <c r="AD64" i="31" s="1"/>
  <c r="AQ64" i="31"/>
  <c r="AS64" i="31" s="1"/>
  <c r="AV64" i="31" s="1"/>
  <c r="L33" i="36"/>
  <c r="AA33" i="36"/>
  <c r="N33" i="36"/>
  <c r="AA33" i="38"/>
  <c r="L33" i="38"/>
  <c r="N33" i="38"/>
  <c r="AI35" i="37"/>
  <c r="AD35" i="37" s="1"/>
  <c r="Y35" i="37"/>
  <c r="Z35" i="37" s="1"/>
  <c r="J35" i="37" s="1"/>
  <c r="AG35" i="37"/>
  <c r="AC35" i="37" s="1"/>
  <c r="AJ35" i="37"/>
  <c r="AH35" i="37"/>
  <c r="AE35" i="37"/>
  <c r="AB35" i="37" s="1"/>
  <c r="AF35" i="37"/>
  <c r="AK63" i="39"/>
  <c r="AL63" i="39"/>
  <c r="AM63" i="39"/>
  <c r="AA63" i="39"/>
  <c r="Z64" i="39"/>
  <c r="AJ63" i="39"/>
  <c r="AG61" i="35"/>
  <c r="AF61" i="35"/>
  <c r="AI61" i="35" s="1"/>
  <c r="AC34" i="27"/>
  <c r="M34" i="27" s="1"/>
  <c r="AG61" i="39"/>
  <c r="AF61" i="39"/>
  <c r="AI61" i="39" s="1"/>
  <c r="AG34" i="32"/>
  <c r="AE34" i="32"/>
  <c r="AH34" i="32"/>
  <c r="AI34" i="32"/>
  <c r="AJ34" i="32"/>
  <c r="Y34" i="32"/>
  <c r="Z34" i="32" s="1"/>
  <c r="J34" i="32" s="1"/>
  <c r="AF34" i="32"/>
  <c r="R32" i="36"/>
  <c r="U31" i="27"/>
  <c r="AJ36" i="34"/>
  <c r="AF36" i="34"/>
  <c r="Y36" i="34"/>
  <c r="Z36" i="34" s="1"/>
  <c r="J36" i="34" s="1"/>
  <c r="AH36" i="34"/>
  <c r="AI36" i="34"/>
  <c r="AE36" i="34"/>
  <c r="AG36" i="34"/>
  <c r="AG61" i="27"/>
  <c r="AF61" i="27"/>
  <c r="AI61" i="27" s="1"/>
  <c r="F37" i="31"/>
  <c r="O37" i="31"/>
  <c r="P37" i="31" s="1"/>
  <c r="Q37" i="31" s="1"/>
  <c r="M33" i="33"/>
  <c r="AA63" i="35"/>
  <c r="AJ63" i="35"/>
  <c r="AK63" i="35"/>
  <c r="AL63" i="35"/>
  <c r="AM63" i="35"/>
  <c r="Z64" i="35"/>
  <c r="M35" i="34"/>
  <c r="AK36" i="31"/>
  <c r="H36" i="31"/>
  <c r="I36" i="31" s="1"/>
  <c r="AP41" i="34"/>
  <c r="AR41" i="34" s="1"/>
  <c r="AP42" i="34"/>
  <c r="AR42" i="34" s="1"/>
  <c r="AQ41" i="34"/>
  <c r="AS41" i="34" s="1"/>
  <c r="AV41" i="34" s="1"/>
  <c r="AQ42" i="34"/>
  <c r="AS42" i="34" s="1"/>
  <c r="AV42" i="34" s="1"/>
  <c r="AP43" i="34"/>
  <c r="AR43" i="34" s="1"/>
  <c r="AQ43" i="34"/>
  <c r="AS43" i="34" s="1"/>
  <c r="AV43" i="34" s="1"/>
  <c r="AQ44" i="34"/>
  <c r="AS44" i="34" s="1"/>
  <c r="AV44" i="34" s="1"/>
  <c r="AP44" i="34"/>
  <c r="AR44" i="34" s="1"/>
  <c r="AP45" i="34"/>
  <c r="AR45" i="34" s="1"/>
  <c r="AQ45" i="34"/>
  <c r="AS45" i="34" s="1"/>
  <c r="AV45" i="34" s="1"/>
  <c r="AP46" i="34"/>
  <c r="AR46" i="34" s="1"/>
  <c r="AQ46" i="34"/>
  <c r="AS46" i="34" s="1"/>
  <c r="AV46" i="34" s="1"/>
  <c r="AP47" i="34"/>
  <c r="AR47" i="34" s="1"/>
  <c r="AQ47" i="34"/>
  <c r="AS47" i="34" s="1"/>
  <c r="AV47" i="34" s="1"/>
  <c r="AQ48" i="34"/>
  <c r="AS48" i="34" s="1"/>
  <c r="AV48" i="34" s="1"/>
  <c r="AP48" i="34"/>
  <c r="AR48" i="34" s="1"/>
  <c r="AQ49" i="34"/>
  <c r="AS49" i="34" s="1"/>
  <c r="AV49" i="34" s="1"/>
  <c r="AP49" i="34"/>
  <c r="AR49" i="34" s="1"/>
  <c r="AQ50" i="34"/>
  <c r="AS50" i="34" s="1"/>
  <c r="AV50" i="34" s="1"/>
  <c r="AP50" i="34"/>
  <c r="AR50" i="34" s="1"/>
  <c r="AQ51" i="34"/>
  <c r="AS51" i="34" s="1"/>
  <c r="AV51" i="34" s="1"/>
  <c r="AP51" i="34"/>
  <c r="AR51" i="34" s="1"/>
  <c r="AQ52" i="34"/>
  <c r="AS52" i="34" s="1"/>
  <c r="AV52" i="34" s="1"/>
  <c r="AP52" i="34"/>
  <c r="AR52" i="34" s="1"/>
  <c r="AP53" i="34"/>
  <c r="AR53" i="34" s="1"/>
  <c r="AQ53" i="34"/>
  <c r="AS53" i="34" s="1"/>
  <c r="AV53" i="34" s="1"/>
  <c r="AP54" i="34"/>
  <c r="AR54" i="34" s="1"/>
  <c r="AQ54" i="34"/>
  <c r="AS54" i="34" s="1"/>
  <c r="AV54" i="34" s="1"/>
  <c r="AQ55" i="34"/>
  <c r="AS55" i="34" s="1"/>
  <c r="AV55" i="34" s="1"/>
  <c r="AP55" i="34"/>
  <c r="AR55" i="34" s="1"/>
  <c r="AQ56" i="34"/>
  <c r="AS56" i="34" s="1"/>
  <c r="AV56" i="34" s="1"/>
  <c r="AP56" i="34"/>
  <c r="AR56" i="34" s="1"/>
  <c r="AP57" i="34"/>
  <c r="AR57" i="34" s="1"/>
  <c r="AQ57" i="34"/>
  <c r="AS57" i="34" s="1"/>
  <c r="AV57" i="34" s="1"/>
  <c r="AP58" i="34"/>
  <c r="AR58" i="34" s="1"/>
  <c r="AQ58" i="34"/>
  <c r="AS58" i="34" s="1"/>
  <c r="AV58" i="34" s="1"/>
  <c r="AB61" i="36"/>
  <c r="AD61" i="36" s="1"/>
  <c r="AC61" i="36"/>
  <c r="AE61" i="36" s="1"/>
  <c r="AH61" i="36" s="1"/>
  <c r="M33" i="38"/>
  <c r="X33" i="31"/>
  <c r="M32" i="35"/>
  <c r="AB61" i="33"/>
  <c r="AD61" i="33" s="1"/>
  <c r="AC61" i="33"/>
  <c r="AE61" i="33" s="1"/>
  <c r="AH61" i="33" s="1"/>
  <c r="AK36" i="27"/>
  <c r="H36" i="27"/>
  <c r="I36" i="27" s="1"/>
  <c r="AQ60" i="34"/>
  <c r="AS60" i="34" s="1"/>
  <c r="AV60" i="34" s="1"/>
  <c r="AB60" i="34"/>
  <c r="AD60" i="34" s="1"/>
  <c r="AP60" i="34"/>
  <c r="AR60" i="34" s="1"/>
  <c r="AC60" i="34"/>
  <c r="AE60" i="34" s="1"/>
  <c r="AH60" i="34" s="1"/>
  <c r="AK35" i="33"/>
  <c r="H35" i="33"/>
  <c r="I35" i="33" s="1"/>
  <c r="AA61" i="34"/>
  <c r="AM61" i="34"/>
  <c r="AJ61" i="34"/>
  <c r="AK61" i="34"/>
  <c r="AL61" i="34"/>
  <c r="Z62" i="34"/>
  <c r="U32" i="39"/>
  <c r="T32" i="39"/>
  <c r="AF60" i="33"/>
  <c r="AI60" i="33" s="1"/>
  <c r="AG60" i="33"/>
  <c r="V29" i="35"/>
  <c r="W29" i="35"/>
  <c r="AF59" i="37"/>
  <c r="AI59" i="37" s="1"/>
  <c r="AG59" i="37"/>
  <c r="AK36" i="39"/>
  <c r="H36" i="39"/>
  <c r="I36" i="39" s="1"/>
  <c r="X18" i="34"/>
  <c r="X17" i="34"/>
  <c r="X20" i="34"/>
  <c r="X19" i="34"/>
  <c r="X22" i="34"/>
  <c r="X21" i="34"/>
  <c r="X23" i="34"/>
  <c r="X24" i="34"/>
  <c r="X25" i="34"/>
  <c r="X27" i="34"/>
  <c r="X26" i="34"/>
  <c r="X28" i="34"/>
  <c r="X29" i="34"/>
  <c r="X30" i="34"/>
  <c r="G38" i="27"/>
  <c r="AQ38" i="27"/>
  <c r="AQ39" i="27" s="1"/>
  <c r="AR38" i="27"/>
  <c r="AR39" i="27" s="1"/>
  <c r="D38" i="27"/>
  <c r="E38" i="27"/>
  <c r="AP38" i="27"/>
  <c r="AP39" i="27" s="1"/>
  <c r="B38" i="27"/>
  <c r="C38" i="27" s="1"/>
  <c r="AO38" i="27"/>
  <c r="AO39" i="27" s="1"/>
  <c r="W3" i="27" s="1"/>
  <c r="V30" i="31"/>
  <c r="W30" i="31"/>
  <c r="S33" i="31"/>
  <c r="T33" i="31" s="1"/>
  <c r="R33" i="31"/>
  <c r="F36" i="32"/>
  <c r="O36" i="32"/>
  <c r="P36" i="32" s="1"/>
  <c r="Q36" i="32" s="1"/>
  <c r="T30" i="38"/>
  <c r="U31" i="35"/>
  <c r="AB34" i="32" l="1"/>
  <c r="K34" i="32" s="1"/>
  <c r="AC34" i="32"/>
  <c r="AD34" i="32"/>
  <c r="U31" i="36"/>
  <c r="T31" i="36"/>
  <c r="V33" i="31"/>
  <c r="W33" i="31"/>
  <c r="V32" i="38"/>
  <c r="W32" i="38"/>
  <c r="V31" i="32"/>
  <c r="W31" i="32"/>
  <c r="T31" i="33"/>
  <c r="U31" i="33"/>
  <c r="AA35" i="37"/>
  <c r="L35" i="37"/>
  <c r="N35" i="37"/>
  <c r="AG62" i="39"/>
  <c r="AF62" i="39"/>
  <c r="AI62" i="39" s="1"/>
  <c r="U32" i="37"/>
  <c r="AT55" i="34"/>
  <c r="AW55" i="34" s="1"/>
  <c r="AU55" i="34"/>
  <c r="X18" i="27"/>
  <c r="X17" i="27"/>
  <c r="X19" i="27"/>
  <c r="X20" i="27"/>
  <c r="X21" i="27"/>
  <c r="X22" i="27"/>
  <c r="X23" i="27"/>
  <c r="X24" i="27"/>
  <c r="X25" i="27"/>
  <c r="X26" i="27"/>
  <c r="X27" i="27"/>
  <c r="X29" i="27"/>
  <c r="X28" i="27"/>
  <c r="X30" i="27"/>
  <c r="AP41" i="37"/>
  <c r="AR41" i="37" s="1"/>
  <c r="AQ42" i="37"/>
  <c r="AS42" i="37" s="1"/>
  <c r="AV42" i="37" s="1"/>
  <c r="AP42" i="37"/>
  <c r="AR42" i="37" s="1"/>
  <c r="AQ41" i="37"/>
  <c r="AS41" i="37" s="1"/>
  <c r="AV41" i="37" s="1"/>
  <c r="AQ43" i="37"/>
  <c r="AS43" i="37" s="1"/>
  <c r="AV43" i="37" s="1"/>
  <c r="AP43" i="37"/>
  <c r="AR43" i="37" s="1"/>
  <c r="AP44" i="37"/>
  <c r="AR44" i="37" s="1"/>
  <c r="AQ44" i="37"/>
  <c r="AS44" i="37" s="1"/>
  <c r="AV44" i="37" s="1"/>
  <c r="AQ45" i="37"/>
  <c r="AS45" i="37" s="1"/>
  <c r="AV45" i="37" s="1"/>
  <c r="AP45" i="37"/>
  <c r="AR45" i="37" s="1"/>
  <c r="AP46" i="37"/>
  <c r="AR46" i="37" s="1"/>
  <c r="AQ46" i="37"/>
  <c r="AS46" i="37" s="1"/>
  <c r="AV46" i="37" s="1"/>
  <c r="AP47" i="37"/>
  <c r="AR47" i="37" s="1"/>
  <c r="AQ47" i="37"/>
  <c r="AS47" i="37" s="1"/>
  <c r="AV47" i="37" s="1"/>
  <c r="AQ48" i="37"/>
  <c r="AS48" i="37" s="1"/>
  <c r="AV48" i="37" s="1"/>
  <c r="AP48" i="37"/>
  <c r="AR48" i="37" s="1"/>
  <c r="AQ49" i="37"/>
  <c r="AS49" i="37" s="1"/>
  <c r="AV49" i="37" s="1"/>
  <c r="AP49" i="37"/>
  <c r="AR49" i="37" s="1"/>
  <c r="AQ50" i="37"/>
  <c r="AS50" i="37" s="1"/>
  <c r="AV50" i="37" s="1"/>
  <c r="AP50" i="37"/>
  <c r="AR50" i="37" s="1"/>
  <c r="AQ51" i="37"/>
  <c r="AS51" i="37" s="1"/>
  <c r="AV51" i="37" s="1"/>
  <c r="AP51" i="37"/>
  <c r="AR51" i="37" s="1"/>
  <c r="AP52" i="37"/>
  <c r="AR52" i="37" s="1"/>
  <c r="AQ52" i="37"/>
  <c r="AS52" i="37" s="1"/>
  <c r="AV52" i="37" s="1"/>
  <c r="AQ53" i="37"/>
  <c r="AS53" i="37" s="1"/>
  <c r="AV53" i="37" s="1"/>
  <c r="AP53" i="37"/>
  <c r="AR53" i="37" s="1"/>
  <c r="AQ54" i="37"/>
  <c r="AS54" i="37" s="1"/>
  <c r="AV54" i="37" s="1"/>
  <c r="AP54" i="37"/>
  <c r="AR54" i="37" s="1"/>
  <c r="AP55" i="37"/>
  <c r="AR55" i="37" s="1"/>
  <c r="AQ55" i="37"/>
  <c r="AS55" i="37" s="1"/>
  <c r="AV55" i="37" s="1"/>
  <c r="AP56" i="37"/>
  <c r="AR56" i="37" s="1"/>
  <c r="AQ56" i="37"/>
  <c r="AS56" i="37" s="1"/>
  <c r="AV56" i="37" s="1"/>
  <c r="AP57" i="37"/>
  <c r="AR57" i="37" s="1"/>
  <c r="AQ57" i="37"/>
  <c r="AS57" i="37" s="1"/>
  <c r="AV57" i="37" s="1"/>
  <c r="AQ58" i="37"/>
  <c r="AS58" i="37" s="1"/>
  <c r="AV58" i="37" s="1"/>
  <c r="AP58" i="37"/>
  <c r="AR58" i="37" s="1"/>
  <c r="AQ59" i="37"/>
  <c r="AS59" i="37" s="1"/>
  <c r="AV59" i="37" s="1"/>
  <c r="AP59" i="37"/>
  <c r="AR59" i="37" s="1"/>
  <c r="M34" i="33"/>
  <c r="Y35" i="32"/>
  <c r="Z35" i="32" s="1"/>
  <c r="J35" i="32" s="1"/>
  <c r="AJ35" i="32"/>
  <c r="AG35" i="32"/>
  <c r="AF35" i="32"/>
  <c r="AI35" i="32"/>
  <c r="AD35" i="32" s="1"/>
  <c r="AE35" i="32"/>
  <c r="AB35" i="32" s="1"/>
  <c r="AH35" i="32"/>
  <c r="T32" i="31"/>
  <c r="AQ45" i="27"/>
  <c r="AS45" i="27" s="1"/>
  <c r="AV45" i="27" s="1"/>
  <c r="AQ44" i="27"/>
  <c r="AS44" i="27" s="1"/>
  <c r="AV44" i="27" s="1"/>
  <c r="AP42" i="27"/>
  <c r="AR42" i="27" s="1"/>
  <c r="AP41" i="27"/>
  <c r="AR41" i="27" s="1"/>
  <c r="AP44" i="27"/>
  <c r="AR44" i="27" s="1"/>
  <c r="AP46" i="27"/>
  <c r="AR46" i="27" s="1"/>
  <c r="AQ46" i="27"/>
  <c r="AS46" i="27" s="1"/>
  <c r="AV46" i="27" s="1"/>
  <c r="AQ43" i="27"/>
  <c r="AS43" i="27" s="1"/>
  <c r="AV43" i="27" s="1"/>
  <c r="AP43" i="27"/>
  <c r="AR43" i="27" s="1"/>
  <c r="AQ42" i="27"/>
  <c r="AS42" i="27" s="1"/>
  <c r="AV42" i="27" s="1"/>
  <c r="AP45" i="27"/>
  <c r="AR45" i="27" s="1"/>
  <c r="AQ41" i="27"/>
  <c r="AS41" i="27" s="1"/>
  <c r="AV41" i="27" s="1"/>
  <c r="AQ47" i="27"/>
  <c r="AS47" i="27" s="1"/>
  <c r="AV47" i="27" s="1"/>
  <c r="AP47" i="27"/>
  <c r="AR47" i="27" s="1"/>
  <c r="AQ48" i="27"/>
  <c r="AS48" i="27" s="1"/>
  <c r="AV48" i="27" s="1"/>
  <c r="AP48" i="27"/>
  <c r="AR48" i="27" s="1"/>
  <c r="AQ49" i="27"/>
  <c r="AS49" i="27" s="1"/>
  <c r="AV49" i="27" s="1"/>
  <c r="AP49" i="27"/>
  <c r="AR49" i="27" s="1"/>
  <c r="AP50" i="27"/>
  <c r="AR50" i="27" s="1"/>
  <c r="AQ50" i="27"/>
  <c r="AS50" i="27" s="1"/>
  <c r="AV50" i="27" s="1"/>
  <c r="AP51" i="27"/>
  <c r="AR51" i="27" s="1"/>
  <c r="AQ51" i="27"/>
  <c r="AS51" i="27" s="1"/>
  <c r="AV51" i="27" s="1"/>
  <c r="AQ52" i="27"/>
  <c r="AS52" i="27" s="1"/>
  <c r="AV52" i="27" s="1"/>
  <c r="AP52" i="27"/>
  <c r="AR52" i="27" s="1"/>
  <c r="AP53" i="27"/>
  <c r="AR53" i="27" s="1"/>
  <c r="AQ53" i="27"/>
  <c r="AS53" i="27" s="1"/>
  <c r="AV53" i="27" s="1"/>
  <c r="AP54" i="27"/>
  <c r="AR54" i="27" s="1"/>
  <c r="AQ54" i="27"/>
  <c r="AS54" i="27" s="1"/>
  <c r="AV54" i="27" s="1"/>
  <c r="AP55" i="27"/>
  <c r="AR55" i="27" s="1"/>
  <c r="AQ55" i="27"/>
  <c r="AS55" i="27" s="1"/>
  <c r="AV55" i="27" s="1"/>
  <c r="AP56" i="27"/>
  <c r="AR56" i="27" s="1"/>
  <c r="AQ56" i="27"/>
  <c r="AS56" i="27" s="1"/>
  <c r="AV56" i="27" s="1"/>
  <c r="AQ57" i="27"/>
  <c r="AS57" i="27" s="1"/>
  <c r="AV57" i="27" s="1"/>
  <c r="AP57" i="27"/>
  <c r="AR57" i="27" s="1"/>
  <c r="AQ58" i="27"/>
  <c r="AS58" i="27" s="1"/>
  <c r="AV58" i="27" s="1"/>
  <c r="AP58" i="27"/>
  <c r="AR58" i="27" s="1"/>
  <c r="AQ59" i="27"/>
  <c r="AS59" i="27" s="1"/>
  <c r="AV59" i="27" s="1"/>
  <c r="AP59" i="27"/>
  <c r="AR59" i="27" s="1"/>
  <c r="AP60" i="27"/>
  <c r="AR60" i="27" s="1"/>
  <c r="AQ60" i="27"/>
  <c r="AS60" i="27" s="1"/>
  <c r="AV60" i="27" s="1"/>
  <c r="AQ61" i="27"/>
  <c r="AS61" i="27" s="1"/>
  <c r="AV61" i="27" s="1"/>
  <c r="AP61" i="27"/>
  <c r="AR61" i="27" s="1"/>
  <c r="AQ62" i="27"/>
  <c r="AS62" i="27" s="1"/>
  <c r="AV62" i="27" s="1"/>
  <c r="AK36" i="35"/>
  <c r="H36" i="35"/>
  <c r="I36" i="35" s="1"/>
  <c r="AK37" i="27"/>
  <c r="H37" i="27"/>
  <c r="I37" i="27" s="1"/>
  <c r="AA35" i="34"/>
  <c r="L35" i="34"/>
  <c r="N35" i="34"/>
  <c r="AU62" i="39"/>
  <c r="V32" i="39"/>
  <c r="W32" i="39"/>
  <c r="K34" i="36"/>
  <c r="L34" i="37"/>
  <c r="AA34" i="37"/>
  <c r="N34" i="37"/>
  <c r="V31" i="38"/>
  <c r="W31" i="38"/>
  <c r="AC62" i="36"/>
  <c r="AE62" i="36" s="1"/>
  <c r="AH62" i="36" s="1"/>
  <c r="AB62" i="36"/>
  <c r="AD62" i="36" s="1"/>
  <c r="AD34" i="33"/>
  <c r="AA64" i="39"/>
  <c r="AM64" i="39"/>
  <c r="AL64" i="39"/>
  <c r="Z65" i="39"/>
  <c r="AJ64" i="39"/>
  <c r="AK64" i="39"/>
  <c r="V32" i="27"/>
  <c r="W32" i="27"/>
  <c r="AJ66" i="31"/>
  <c r="Z67" i="31"/>
  <c r="AK66" i="31"/>
  <c r="AL66" i="31"/>
  <c r="AA66" i="31"/>
  <c r="AM66" i="31"/>
  <c r="AJ63" i="36"/>
  <c r="AK63" i="36"/>
  <c r="AL63" i="36"/>
  <c r="AA63" i="36"/>
  <c r="AM63" i="36"/>
  <c r="Z64" i="36"/>
  <c r="R33" i="38"/>
  <c r="S33" i="38" s="1"/>
  <c r="R33" i="36"/>
  <c r="AH35" i="36"/>
  <c r="AJ35" i="36"/>
  <c r="AI35" i="36"/>
  <c r="AD35" i="36" s="1"/>
  <c r="AG35" i="36"/>
  <c r="AC35" i="36" s="1"/>
  <c r="Y35" i="36"/>
  <c r="Z35" i="36" s="1"/>
  <c r="J35" i="36" s="1"/>
  <c r="AE35" i="36"/>
  <c r="AB35" i="36" s="1"/>
  <c r="K35" i="36" s="1"/>
  <c r="AF35" i="36"/>
  <c r="AC65" i="31"/>
  <c r="AE65" i="31" s="1"/>
  <c r="AH65" i="31" s="1"/>
  <c r="AP65" i="31"/>
  <c r="AR65" i="31" s="1"/>
  <c r="AB65" i="31"/>
  <c r="AD65" i="31" s="1"/>
  <c r="AQ65" i="31"/>
  <c r="AS65" i="31" s="1"/>
  <c r="AV65" i="31" s="1"/>
  <c r="F37" i="36"/>
  <c r="O37" i="36"/>
  <c r="P37" i="36" s="1"/>
  <c r="Q37" i="36" s="1"/>
  <c r="F38" i="31"/>
  <c r="O38" i="31"/>
  <c r="P38" i="31" s="1"/>
  <c r="Q38" i="31" s="1"/>
  <c r="U32" i="35"/>
  <c r="T32" i="35"/>
  <c r="AA34" i="38"/>
  <c r="L34" i="38"/>
  <c r="N34" i="38"/>
  <c r="X32" i="27"/>
  <c r="H37" i="38"/>
  <c r="I37" i="38" s="1"/>
  <c r="AK37" i="38"/>
  <c r="U31" i="32"/>
  <c r="X32" i="37"/>
  <c r="AT42" i="34"/>
  <c r="AW42" i="34" s="1"/>
  <c r="AU42" i="34"/>
  <c r="AD35" i="39"/>
  <c r="Y36" i="27"/>
  <c r="Z36" i="27" s="1"/>
  <c r="J36" i="27" s="1"/>
  <c r="AE36" i="27"/>
  <c r="AI36" i="27"/>
  <c r="AD36" i="27" s="1"/>
  <c r="AG36" i="27"/>
  <c r="AC36" i="27" s="1"/>
  <c r="AF36" i="27"/>
  <c r="AJ36" i="27"/>
  <c r="AH36" i="27"/>
  <c r="S32" i="36"/>
  <c r="T32" i="36" s="1"/>
  <c r="U33" i="37"/>
  <c r="X34" i="39"/>
  <c r="V30" i="38"/>
  <c r="W30" i="38"/>
  <c r="U32" i="31"/>
  <c r="AU52" i="34"/>
  <c r="AT52" i="34"/>
  <c r="AW52" i="34" s="1"/>
  <c r="AJ36" i="31"/>
  <c r="AE36" i="31"/>
  <c r="AB36" i="31" s="1"/>
  <c r="AF36" i="31"/>
  <c r="AH36" i="31"/>
  <c r="AG36" i="31"/>
  <c r="AC36" i="31" s="1"/>
  <c r="Y36" i="31"/>
  <c r="Z36" i="31" s="1"/>
  <c r="J36" i="31" s="1"/>
  <c r="AI36" i="31"/>
  <c r="AD36" i="31" s="1"/>
  <c r="T32" i="37"/>
  <c r="AI37" i="34"/>
  <c r="AE37" i="34"/>
  <c r="AB37" i="34" s="1"/>
  <c r="K37" i="34" s="1"/>
  <c r="AJ37" i="34"/>
  <c r="AF37" i="34"/>
  <c r="Y37" i="34"/>
  <c r="Z37" i="34" s="1"/>
  <c r="J37" i="34" s="1"/>
  <c r="AG37" i="34"/>
  <c r="AC37" i="34" s="1"/>
  <c r="AH37" i="34"/>
  <c r="AK37" i="37"/>
  <c r="H37" i="37"/>
  <c r="I37" i="37" s="1"/>
  <c r="AB35" i="39"/>
  <c r="K35" i="39" s="1"/>
  <c r="L34" i="31"/>
  <c r="AA34" i="31"/>
  <c r="N34" i="31"/>
  <c r="AI36" i="38"/>
  <c r="AJ36" i="38"/>
  <c r="AG36" i="38"/>
  <c r="AE36" i="38"/>
  <c r="Y36" i="38"/>
  <c r="Z36" i="38" s="1"/>
  <c r="J36" i="38" s="1"/>
  <c r="AH36" i="38"/>
  <c r="AF36" i="38"/>
  <c r="AQ63" i="27"/>
  <c r="AS63" i="27" s="1"/>
  <c r="AV63" i="27" s="1"/>
  <c r="AC63" i="27"/>
  <c r="AE63" i="27" s="1"/>
  <c r="AH63" i="27" s="1"/>
  <c r="AP63" i="27"/>
  <c r="AR63" i="27" s="1"/>
  <c r="AB63" i="27"/>
  <c r="AD63" i="27" s="1"/>
  <c r="AC35" i="31"/>
  <c r="M35" i="31" s="1"/>
  <c r="X17" i="38"/>
  <c r="X19" i="38"/>
  <c r="X18" i="38"/>
  <c r="X20" i="38"/>
  <c r="X21" i="38"/>
  <c r="X23" i="38"/>
  <c r="X22" i="38"/>
  <c r="X25" i="38"/>
  <c r="X24" i="38"/>
  <c r="X26" i="38"/>
  <c r="X27" i="38"/>
  <c r="X29" i="38"/>
  <c r="X28" i="38"/>
  <c r="W11" i="39"/>
  <c r="W11" i="31"/>
  <c r="AR38" i="33"/>
  <c r="AR39" i="33" s="1"/>
  <c r="B38" i="33"/>
  <c r="C38" i="33" s="1"/>
  <c r="D38" i="33"/>
  <c r="E38" i="33"/>
  <c r="G38" i="33"/>
  <c r="AO38" i="33"/>
  <c r="AO39" i="33" s="1"/>
  <c r="W3" i="33" s="1"/>
  <c r="AP38" i="33"/>
  <c r="AP39" i="33" s="1"/>
  <c r="AQ38" i="33"/>
  <c r="AQ39" i="33" s="1"/>
  <c r="W11" i="33" s="1"/>
  <c r="B38" i="36"/>
  <c r="C38" i="36" s="1"/>
  <c r="AO38" i="36"/>
  <c r="AO39" i="36" s="1"/>
  <c r="W3" i="36" s="1"/>
  <c r="X31" i="36" s="1"/>
  <c r="D38" i="36"/>
  <c r="E38" i="36"/>
  <c r="AP38" i="36"/>
  <c r="AP39" i="36" s="1"/>
  <c r="AQ38" i="36"/>
  <c r="AQ39" i="36" s="1"/>
  <c r="AR38" i="36"/>
  <c r="AR39" i="36" s="1"/>
  <c r="G38" i="36"/>
  <c r="AB34" i="33"/>
  <c r="K34" i="33" s="1"/>
  <c r="V31" i="39"/>
  <c r="W31" i="39"/>
  <c r="AE36" i="39"/>
  <c r="AI36" i="39"/>
  <c r="AD36" i="39" s="1"/>
  <c r="AJ36" i="39"/>
  <c r="Y36" i="39"/>
  <c r="Z36" i="39" s="1"/>
  <c r="J36" i="39" s="1"/>
  <c r="AF36" i="39"/>
  <c r="AH36" i="39"/>
  <c r="AG36" i="39"/>
  <c r="AC36" i="39" s="1"/>
  <c r="AT62" i="27"/>
  <c r="AW62" i="27" s="1"/>
  <c r="AU62" i="27"/>
  <c r="R34" i="27"/>
  <c r="AA62" i="34"/>
  <c r="AL62" i="34"/>
  <c r="AM62" i="34"/>
  <c r="Z63" i="34"/>
  <c r="AJ62" i="34"/>
  <c r="AK62" i="34"/>
  <c r="AK37" i="31"/>
  <c r="H37" i="31"/>
  <c r="I37" i="31" s="1"/>
  <c r="R33" i="35"/>
  <c r="AQ42" i="38"/>
  <c r="AS42" i="38" s="1"/>
  <c r="AV42" i="38" s="1"/>
  <c r="AP44" i="38"/>
  <c r="AR44" i="38" s="1"/>
  <c r="AP42" i="38"/>
  <c r="AR42" i="38" s="1"/>
  <c r="AQ41" i="38"/>
  <c r="AS41" i="38" s="1"/>
  <c r="AV41" i="38" s="1"/>
  <c r="AP41" i="38"/>
  <c r="AR41" i="38" s="1"/>
  <c r="AQ43" i="38"/>
  <c r="AS43" i="38" s="1"/>
  <c r="AV43" i="38" s="1"/>
  <c r="AQ44" i="38"/>
  <c r="AS44" i="38" s="1"/>
  <c r="AV44" i="38" s="1"/>
  <c r="AP43" i="38"/>
  <c r="AR43" i="38" s="1"/>
  <c r="AP45" i="38"/>
  <c r="AR45" i="38" s="1"/>
  <c r="AQ45" i="38"/>
  <c r="AS45" i="38" s="1"/>
  <c r="AV45" i="38" s="1"/>
  <c r="AP46" i="38"/>
  <c r="AR46" i="38" s="1"/>
  <c r="AQ46" i="38"/>
  <c r="AS46" i="38" s="1"/>
  <c r="AV46" i="38" s="1"/>
  <c r="AP47" i="38"/>
  <c r="AR47" i="38" s="1"/>
  <c r="AQ47" i="38"/>
  <c r="AS47" i="38" s="1"/>
  <c r="AV47" i="38" s="1"/>
  <c r="AQ48" i="38"/>
  <c r="AS48" i="38" s="1"/>
  <c r="AV48" i="38" s="1"/>
  <c r="AP48" i="38"/>
  <c r="AR48" i="38" s="1"/>
  <c r="AQ49" i="38"/>
  <c r="AS49" i="38" s="1"/>
  <c r="AV49" i="38" s="1"/>
  <c r="AP49" i="38"/>
  <c r="AR49" i="38" s="1"/>
  <c r="AP50" i="38"/>
  <c r="AR50" i="38" s="1"/>
  <c r="AQ50" i="38"/>
  <c r="AS50" i="38" s="1"/>
  <c r="AV50" i="38" s="1"/>
  <c r="AP51" i="38"/>
  <c r="AR51" i="38" s="1"/>
  <c r="AQ51" i="38"/>
  <c r="AS51" i="38" s="1"/>
  <c r="AV51" i="38" s="1"/>
  <c r="AP52" i="38"/>
  <c r="AR52" i="38" s="1"/>
  <c r="AQ52" i="38"/>
  <c r="AS52" i="38" s="1"/>
  <c r="AV52" i="38" s="1"/>
  <c r="AP53" i="38"/>
  <c r="AR53" i="38" s="1"/>
  <c r="AQ53" i="38"/>
  <c r="AS53" i="38" s="1"/>
  <c r="AV53" i="38" s="1"/>
  <c r="AQ54" i="38"/>
  <c r="AS54" i="38" s="1"/>
  <c r="AV54" i="38" s="1"/>
  <c r="AP54" i="38"/>
  <c r="AR54" i="38" s="1"/>
  <c r="AQ55" i="38"/>
  <c r="AS55" i="38" s="1"/>
  <c r="AV55" i="38" s="1"/>
  <c r="AP55" i="38"/>
  <c r="AR55" i="38" s="1"/>
  <c r="AP56" i="38"/>
  <c r="AR56" i="38" s="1"/>
  <c r="AQ56" i="38"/>
  <c r="AS56" i="38" s="1"/>
  <c r="AV56" i="38" s="1"/>
  <c r="AQ57" i="38"/>
  <c r="AS57" i="38" s="1"/>
  <c r="AV57" i="38" s="1"/>
  <c r="AP57" i="38"/>
  <c r="AR57" i="38" s="1"/>
  <c r="AQ58" i="38"/>
  <c r="AS58" i="38" s="1"/>
  <c r="AV58" i="38" s="1"/>
  <c r="AP58" i="38"/>
  <c r="AR58" i="38" s="1"/>
  <c r="AQ59" i="38"/>
  <c r="AS59" i="38" s="1"/>
  <c r="AV59" i="38" s="1"/>
  <c r="AP59" i="38"/>
  <c r="AR59" i="38" s="1"/>
  <c r="AP60" i="38"/>
  <c r="AR60" i="38" s="1"/>
  <c r="AQ60" i="38"/>
  <c r="AS60" i="38" s="1"/>
  <c r="AV60" i="38" s="1"/>
  <c r="K35" i="37"/>
  <c r="U30" i="33"/>
  <c r="T33" i="34"/>
  <c r="X33" i="34"/>
  <c r="AJ62" i="37"/>
  <c r="Z63" i="37"/>
  <c r="AA62" i="37"/>
  <c r="AK62" i="37"/>
  <c r="AM62" i="37"/>
  <c r="AL62" i="37"/>
  <c r="AC34" i="36"/>
  <c r="M34" i="36" s="1"/>
  <c r="AF62" i="35"/>
  <c r="AI62" i="35" s="1"/>
  <c r="AG62" i="35"/>
  <c r="S34" i="39"/>
  <c r="R34" i="39"/>
  <c r="V31" i="27"/>
  <c r="W31" i="27"/>
  <c r="V31" i="35"/>
  <c r="W31" i="35"/>
  <c r="R34" i="34"/>
  <c r="AQ62" i="38"/>
  <c r="AS62" i="38" s="1"/>
  <c r="AV62" i="38" s="1"/>
  <c r="AC62" i="38"/>
  <c r="AE62" i="38" s="1"/>
  <c r="AH62" i="38" s="1"/>
  <c r="AP62" i="38"/>
  <c r="AR62" i="38" s="1"/>
  <c r="AB62" i="38"/>
  <c r="AD62" i="38" s="1"/>
  <c r="X31" i="39"/>
  <c r="AK36" i="36"/>
  <c r="H36" i="36"/>
  <c r="I36" i="36" s="1"/>
  <c r="V31" i="37"/>
  <c r="W31" i="37"/>
  <c r="S33" i="37"/>
  <c r="T33" i="37" s="1"/>
  <c r="AD35" i="27"/>
  <c r="S32" i="35"/>
  <c r="X32" i="35" s="1"/>
  <c r="V30" i="33"/>
  <c r="W30" i="33"/>
  <c r="V31" i="31"/>
  <c r="W31" i="31"/>
  <c r="AU60" i="34"/>
  <c r="AT60" i="34"/>
  <c r="AW60" i="34" s="1"/>
  <c r="AB63" i="35"/>
  <c r="AD63" i="35" s="1"/>
  <c r="AC63" i="35"/>
  <c r="AE63" i="35" s="1"/>
  <c r="AH63" i="35" s="1"/>
  <c r="L34" i="35"/>
  <c r="AA34" i="35"/>
  <c r="N34" i="35"/>
  <c r="AT54" i="34"/>
  <c r="AW54" i="34" s="1"/>
  <c r="AU54" i="34"/>
  <c r="F38" i="39"/>
  <c r="O38" i="39"/>
  <c r="P38" i="39" s="1"/>
  <c r="Q38" i="39" s="1"/>
  <c r="AP38" i="35"/>
  <c r="AP39" i="35" s="1"/>
  <c r="AP63" i="35" s="1"/>
  <c r="AR63" i="35" s="1"/>
  <c r="AQ38" i="35"/>
  <c r="AQ39" i="35" s="1"/>
  <c r="AR38" i="35"/>
  <c r="AR39" i="35" s="1"/>
  <c r="AO38" i="35"/>
  <c r="AO39" i="35" s="1"/>
  <c r="W3" i="35" s="1"/>
  <c r="B38" i="35"/>
  <c r="C38" i="35" s="1"/>
  <c r="D38" i="35"/>
  <c r="E38" i="35"/>
  <c r="G38" i="35"/>
  <c r="AG62" i="27"/>
  <c r="AF62" i="27"/>
  <c r="AI62" i="27" s="1"/>
  <c r="AU53" i="34"/>
  <c r="AT53" i="34"/>
  <c r="AW53" i="34" s="1"/>
  <c r="AK38" i="34"/>
  <c r="H38" i="34"/>
  <c r="I38" i="34" s="1"/>
  <c r="AD34" i="36"/>
  <c r="W11" i="27"/>
  <c r="X32" i="31"/>
  <c r="AU58" i="34"/>
  <c r="AT58" i="34"/>
  <c r="AW58" i="34" s="1"/>
  <c r="H36" i="32"/>
  <c r="I36" i="32" s="1"/>
  <c r="AK36" i="32"/>
  <c r="AF61" i="33"/>
  <c r="AI61" i="33" s="1"/>
  <c r="AG61" i="33"/>
  <c r="AU51" i="34"/>
  <c r="AT51" i="34"/>
  <c r="AW51" i="34" s="1"/>
  <c r="AC36" i="34"/>
  <c r="M36" i="34" s="1"/>
  <c r="AF64" i="31"/>
  <c r="AI64" i="31" s="1"/>
  <c r="AG64" i="31"/>
  <c r="AF61" i="38"/>
  <c r="AI61" i="38" s="1"/>
  <c r="AG61" i="38"/>
  <c r="AF61" i="32"/>
  <c r="AI61" i="32" s="1"/>
  <c r="AG61" i="32"/>
  <c r="AP61" i="37"/>
  <c r="AR61" i="37" s="1"/>
  <c r="AB61" i="37"/>
  <c r="AD61" i="37" s="1"/>
  <c r="AQ61" i="37"/>
  <c r="AS61" i="37" s="1"/>
  <c r="AV61" i="37" s="1"/>
  <c r="AC61" i="37"/>
  <c r="AE61" i="37" s="1"/>
  <c r="AH61" i="37" s="1"/>
  <c r="Y35" i="35"/>
  <c r="Z35" i="35" s="1"/>
  <c r="J35" i="35" s="1"/>
  <c r="AI35" i="35"/>
  <c r="AH35" i="35"/>
  <c r="AJ35" i="35"/>
  <c r="AF35" i="35"/>
  <c r="AG35" i="35"/>
  <c r="AC35" i="35" s="1"/>
  <c r="AE35" i="35"/>
  <c r="AB35" i="35" s="1"/>
  <c r="K35" i="35" s="1"/>
  <c r="AB35" i="31"/>
  <c r="K35" i="31" s="1"/>
  <c r="F38" i="38"/>
  <c r="O38" i="38"/>
  <c r="P38" i="38" s="1"/>
  <c r="Q38" i="38" s="1"/>
  <c r="AP60" i="37"/>
  <c r="AR60" i="37" s="1"/>
  <c r="S33" i="27"/>
  <c r="AQ47" i="31"/>
  <c r="AS47" i="31" s="1"/>
  <c r="AV47" i="31" s="1"/>
  <c r="AP42" i="31"/>
  <c r="AR42" i="31" s="1"/>
  <c r="AP45" i="31"/>
  <c r="AR45" i="31" s="1"/>
  <c r="AP47" i="31"/>
  <c r="AR47" i="31" s="1"/>
  <c r="AQ46" i="31"/>
  <c r="AS46" i="31" s="1"/>
  <c r="AV46" i="31" s="1"/>
  <c r="AQ45" i="31"/>
  <c r="AS45" i="31" s="1"/>
  <c r="AV45" i="31" s="1"/>
  <c r="AP41" i="31"/>
  <c r="AR41" i="31" s="1"/>
  <c r="AQ42" i="31"/>
  <c r="AS42" i="31" s="1"/>
  <c r="AV42" i="31" s="1"/>
  <c r="AP43" i="31"/>
  <c r="AR43" i="31" s="1"/>
  <c r="AQ44" i="31"/>
  <c r="AS44" i="31" s="1"/>
  <c r="AV44" i="31" s="1"/>
  <c r="AQ41" i="31"/>
  <c r="AS41" i="31" s="1"/>
  <c r="AV41" i="31" s="1"/>
  <c r="AQ43" i="31"/>
  <c r="AS43" i="31" s="1"/>
  <c r="AV43" i="31" s="1"/>
  <c r="AP44" i="31"/>
  <c r="AR44" i="31" s="1"/>
  <c r="AP46" i="31"/>
  <c r="AR46" i="31" s="1"/>
  <c r="AQ48" i="31"/>
  <c r="AS48" i="31" s="1"/>
  <c r="AV48" i="31" s="1"/>
  <c r="AP48" i="31"/>
  <c r="AR48" i="31" s="1"/>
  <c r="AP49" i="31"/>
  <c r="AR49" i="31" s="1"/>
  <c r="AQ49" i="31"/>
  <c r="AS49" i="31" s="1"/>
  <c r="AV49" i="31" s="1"/>
  <c r="AQ50" i="31"/>
  <c r="AS50" i="31" s="1"/>
  <c r="AV50" i="31" s="1"/>
  <c r="AP50" i="31"/>
  <c r="AR50" i="31" s="1"/>
  <c r="AP51" i="31"/>
  <c r="AR51" i="31" s="1"/>
  <c r="AQ51" i="31"/>
  <c r="AS51" i="31" s="1"/>
  <c r="AV51" i="31" s="1"/>
  <c r="AQ52" i="31"/>
  <c r="AS52" i="31" s="1"/>
  <c r="AV52" i="31" s="1"/>
  <c r="AP52" i="31"/>
  <c r="AR52" i="31" s="1"/>
  <c r="AQ53" i="31"/>
  <c r="AS53" i="31" s="1"/>
  <c r="AV53" i="31" s="1"/>
  <c r="AP53" i="31"/>
  <c r="AR53" i="31" s="1"/>
  <c r="AQ54" i="31"/>
  <c r="AS54" i="31" s="1"/>
  <c r="AV54" i="31" s="1"/>
  <c r="AP54" i="31"/>
  <c r="AR54" i="31" s="1"/>
  <c r="AP55" i="31"/>
  <c r="AR55" i="31" s="1"/>
  <c r="AQ55" i="31"/>
  <c r="AS55" i="31" s="1"/>
  <c r="AV55" i="31" s="1"/>
  <c r="AQ56" i="31"/>
  <c r="AS56" i="31" s="1"/>
  <c r="AV56" i="31" s="1"/>
  <c r="AP56" i="31"/>
  <c r="AR56" i="31" s="1"/>
  <c r="AP57" i="31"/>
  <c r="AR57" i="31" s="1"/>
  <c r="AQ57" i="31"/>
  <c r="AS57" i="31" s="1"/>
  <c r="AV57" i="31" s="1"/>
  <c r="AP58" i="31"/>
  <c r="AR58" i="31" s="1"/>
  <c r="AQ58" i="31"/>
  <c r="AS58" i="31" s="1"/>
  <c r="AV58" i="31" s="1"/>
  <c r="AQ59" i="31"/>
  <c r="AS59" i="31" s="1"/>
  <c r="AV59" i="31" s="1"/>
  <c r="AP59" i="31"/>
  <c r="AR59" i="31" s="1"/>
  <c r="AQ60" i="31"/>
  <c r="AS60" i="31" s="1"/>
  <c r="AV60" i="31" s="1"/>
  <c r="AP60" i="31"/>
  <c r="AR60" i="31" s="1"/>
  <c r="AQ61" i="31"/>
  <c r="AS61" i="31" s="1"/>
  <c r="AV61" i="31" s="1"/>
  <c r="AP61" i="31"/>
  <c r="AR61" i="31" s="1"/>
  <c r="AP62" i="31"/>
  <c r="AR62" i="31" s="1"/>
  <c r="AQ62" i="31"/>
  <c r="AS62" i="31" s="1"/>
  <c r="AV62" i="31" s="1"/>
  <c r="AP63" i="31"/>
  <c r="AR63" i="31" s="1"/>
  <c r="AQ63" i="31"/>
  <c r="AS63" i="31" s="1"/>
  <c r="AV63" i="31" s="1"/>
  <c r="F37" i="32"/>
  <c r="O37" i="32"/>
  <c r="P37" i="32" s="1"/>
  <c r="Q37" i="32" s="1"/>
  <c r="V30" i="32"/>
  <c r="W30" i="32"/>
  <c r="Y35" i="33"/>
  <c r="Z35" i="33" s="1"/>
  <c r="J35" i="33" s="1"/>
  <c r="AG35" i="33"/>
  <c r="AI35" i="33"/>
  <c r="AH35" i="33"/>
  <c r="AJ35" i="33"/>
  <c r="AE35" i="33"/>
  <c r="AF35" i="33"/>
  <c r="AK63" i="33"/>
  <c r="AL63" i="33"/>
  <c r="AJ63" i="33"/>
  <c r="Z64" i="33"/>
  <c r="AA63" i="33"/>
  <c r="AM63" i="33"/>
  <c r="M34" i="32"/>
  <c r="AT43" i="34"/>
  <c r="AW43" i="34" s="1"/>
  <c r="AU43" i="34"/>
  <c r="AD35" i="38"/>
  <c r="AQ45" i="39"/>
  <c r="AS45" i="39" s="1"/>
  <c r="AV45" i="39" s="1"/>
  <c r="AP45" i="39"/>
  <c r="AR45" i="39" s="1"/>
  <c r="AQ42" i="39"/>
  <c r="AS42" i="39" s="1"/>
  <c r="AV42" i="39" s="1"/>
  <c r="AP44" i="39"/>
  <c r="AR44" i="39" s="1"/>
  <c r="AP46" i="39"/>
  <c r="AR46" i="39" s="1"/>
  <c r="AQ44" i="39"/>
  <c r="AS44" i="39" s="1"/>
  <c r="AV44" i="39" s="1"/>
  <c r="AP41" i="39"/>
  <c r="AR41" i="39" s="1"/>
  <c r="AQ41" i="39"/>
  <c r="AS41" i="39" s="1"/>
  <c r="AV41" i="39" s="1"/>
  <c r="AQ43" i="39"/>
  <c r="AS43" i="39" s="1"/>
  <c r="AV43" i="39" s="1"/>
  <c r="AP42" i="39"/>
  <c r="AR42" i="39" s="1"/>
  <c r="AQ46" i="39"/>
  <c r="AS46" i="39" s="1"/>
  <c r="AV46" i="39" s="1"/>
  <c r="AP43" i="39"/>
  <c r="AR43" i="39" s="1"/>
  <c r="AQ47" i="39"/>
  <c r="AS47" i="39" s="1"/>
  <c r="AV47" i="39" s="1"/>
  <c r="AP47" i="39"/>
  <c r="AR47" i="39" s="1"/>
  <c r="AQ48" i="39"/>
  <c r="AS48" i="39" s="1"/>
  <c r="AV48" i="39" s="1"/>
  <c r="AP48" i="39"/>
  <c r="AR48" i="39" s="1"/>
  <c r="AP49" i="39"/>
  <c r="AR49" i="39" s="1"/>
  <c r="AQ49" i="39"/>
  <c r="AS49" i="39" s="1"/>
  <c r="AV49" i="39" s="1"/>
  <c r="AQ50" i="39"/>
  <c r="AS50" i="39" s="1"/>
  <c r="AV50" i="39" s="1"/>
  <c r="AP50" i="39"/>
  <c r="AR50" i="39" s="1"/>
  <c r="AP51" i="39"/>
  <c r="AR51" i="39" s="1"/>
  <c r="AQ51" i="39"/>
  <c r="AS51" i="39" s="1"/>
  <c r="AV51" i="39" s="1"/>
  <c r="AP52" i="39"/>
  <c r="AR52" i="39" s="1"/>
  <c r="AQ52" i="39"/>
  <c r="AS52" i="39" s="1"/>
  <c r="AV52" i="39" s="1"/>
  <c r="AQ53" i="39"/>
  <c r="AS53" i="39" s="1"/>
  <c r="AV53" i="39" s="1"/>
  <c r="AP53" i="39"/>
  <c r="AR53" i="39" s="1"/>
  <c r="AQ54" i="39"/>
  <c r="AS54" i="39" s="1"/>
  <c r="AV54" i="39" s="1"/>
  <c r="AP54" i="39"/>
  <c r="AR54" i="39" s="1"/>
  <c r="AQ55" i="39"/>
  <c r="AS55" i="39" s="1"/>
  <c r="AV55" i="39" s="1"/>
  <c r="AP55" i="39"/>
  <c r="AR55" i="39" s="1"/>
  <c r="AP56" i="39"/>
  <c r="AR56" i="39" s="1"/>
  <c r="AQ56" i="39"/>
  <c r="AS56" i="39" s="1"/>
  <c r="AV56" i="39" s="1"/>
  <c r="AQ57" i="39"/>
  <c r="AS57" i="39" s="1"/>
  <c r="AV57" i="39" s="1"/>
  <c r="AP57" i="39"/>
  <c r="AR57" i="39" s="1"/>
  <c r="AP58" i="39"/>
  <c r="AR58" i="39" s="1"/>
  <c r="AQ58" i="39"/>
  <c r="AS58" i="39" s="1"/>
  <c r="AV58" i="39" s="1"/>
  <c r="AP59" i="39"/>
  <c r="AR59" i="39" s="1"/>
  <c r="AQ59" i="39"/>
  <c r="AS59" i="39" s="1"/>
  <c r="AV59" i="39" s="1"/>
  <c r="AQ60" i="39"/>
  <c r="AS60" i="39" s="1"/>
  <c r="AV60" i="39" s="1"/>
  <c r="AP60" i="39"/>
  <c r="AR60" i="39" s="1"/>
  <c r="AQ61" i="39"/>
  <c r="AS61" i="39" s="1"/>
  <c r="AV61" i="39" s="1"/>
  <c r="AP61" i="39"/>
  <c r="AR61" i="39" s="1"/>
  <c r="AF60" i="34"/>
  <c r="AI60" i="34" s="1"/>
  <c r="AG60" i="34"/>
  <c r="AH36" i="37"/>
  <c r="AJ36" i="37"/>
  <c r="AF36" i="37"/>
  <c r="AE36" i="37"/>
  <c r="Y36" i="37"/>
  <c r="Z36" i="37" s="1"/>
  <c r="J36" i="37" s="1"/>
  <c r="AI36" i="37"/>
  <c r="AG36" i="37"/>
  <c r="AC62" i="33"/>
  <c r="AE62" i="33" s="1"/>
  <c r="AH62" i="33" s="1"/>
  <c r="AB62" i="33"/>
  <c r="AD62" i="33" s="1"/>
  <c r="R33" i="33"/>
  <c r="S33" i="33" s="1"/>
  <c r="U33" i="33" s="1"/>
  <c r="X19" i="37"/>
  <c r="X17" i="37"/>
  <c r="X18" i="37"/>
  <c r="X20" i="37"/>
  <c r="X21" i="37"/>
  <c r="X23" i="37"/>
  <c r="X22" i="37"/>
  <c r="X24" i="37"/>
  <c r="X25" i="37"/>
  <c r="X26" i="37"/>
  <c r="X27" i="37"/>
  <c r="X29" i="37"/>
  <c r="X28" i="37"/>
  <c r="X30" i="37"/>
  <c r="AC35" i="27"/>
  <c r="M35" i="27" s="1"/>
  <c r="F38" i="27"/>
  <c r="O38" i="27"/>
  <c r="P38" i="27" s="1"/>
  <c r="Q38" i="27" s="1"/>
  <c r="AU41" i="34"/>
  <c r="AT41" i="34"/>
  <c r="AW41" i="34" s="1"/>
  <c r="F38" i="37"/>
  <c r="O38" i="37"/>
  <c r="P38" i="37" s="1"/>
  <c r="Q38" i="37" s="1"/>
  <c r="X32" i="36"/>
  <c r="AT46" i="34"/>
  <c r="AW46" i="34" s="1"/>
  <c r="AU46" i="34"/>
  <c r="U33" i="31"/>
  <c r="AT57" i="34"/>
  <c r="AW57" i="34" s="1"/>
  <c r="AU57" i="34"/>
  <c r="AT45" i="34"/>
  <c r="AW45" i="34" s="1"/>
  <c r="AU45" i="34"/>
  <c r="AJ64" i="35"/>
  <c r="Z65" i="35"/>
  <c r="AK64" i="35"/>
  <c r="AL64" i="35"/>
  <c r="AM64" i="35"/>
  <c r="AA64" i="35"/>
  <c r="AB36" i="34"/>
  <c r="K36" i="34" s="1"/>
  <c r="AA34" i="32"/>
  <c r="L34" i="32"/>
  <c r="N34" i="32"/>
  <c r="AT64" i="31"/>
  <c r="AW64" i="31" s="1"/>
  <c r="AU64" i="31"/>
  <c r="AQ61" i="38"/>
  <c r="AS61" i="38" s="1"/>
  <c r="AV61" i="38" s="1"/>
  <c r="AD35" i="31"/>
  <c r="T33" i="39"/>
  <c r="AF60" i="37"/>
  <c r="AI60" i="37" s="1"/>
  <c r="AG60" i="37"/>
  <c r="X18" i="31"/>
  <c r="X17" i="31"/>
  <c r="X19" i="31"/>
  <c r="X21" i="31"/>
  <c r="X20" i="31"/>
  <c r="X23" i="31"/>
  <c r="X22" i="31"/>
  <c r="X24" i="31"/>
  <c r="X25" i="31"/>
  <c r="X26" i="31"/>
  <c r="X27" i="31"/>
  <c r="X29" i="31"/>
  <c r="X28" i="31"/>
  <c r="X30" i="31"/>
  <c r="AJ63" i="32"/>
  <c r="Z64" i="32"/>
  <c r="AK63" i="32"/>
  <c r="AL63" i="32"/>
  <c r="AM63" i="32"/>
  <c r="AA63" i="32"/>
  <c r="AL63" i="38"/>
  <c r="AM63" i="38"/>
  <c r="Z64" i="38"/>
  <c r="AJ63" i="38"/>
  <c r="AK63" i="38"/>
  <c r="AA63" i="38"/>
  <c r="O37" i="33"/>
  <c r="P37" i="33" s="1"/>
  <c r="Q37" i="33" s="1"/>
  <c r="F37" i="33"/>
  <c r="X31" i="27"/>
  <c r="AU49" i="34"/>
  <c r="AT49" i="34"/>
  <c r="AW49" i="34" s="1"/>
  <c r="AC63" i="39"/>
  <c r="AE63" i="39" s="1"/>
  <c r="AH63" i="39" s="1"/>
  <c r="AQ63" i="39"/>
  <c r="AS63" i="39" s="1"/>
  <c r="AV63" i="39" s="1"/>
  <c r="AP63" i="39"/>
  <c r="AR63" i="39" s="1"/>
  <c r="AB63" i="39"/>
  <c r="AD63" i="39" s="1"/>
  <c r="AK37" i="39"/>
  <c r="H37" i="39"/>
  <c r="I37" i="39" s="1"/>
  <c r="X17" i="39"/>
  <c r="X18" i="39"/>
  <c r="X19" i="39"/>
  <c r="X20" i="39"/>
  <c r="X21" i="39"/>
  <c r="X22" i="39"/>
  <c r="X23" i="39"/>
  <c r="X25" i="39"/>
  <c r="X24" i="39"/>
  <c r="X26" i="39"/>
  <c r="X27" i="39"/>
  <c r="X28" i="39"/>
  <c r="X29" i="39"/>
  <c r="X30" i="39"/>
  <c r="AU48" i="34"/>
  <c r="AT48" i="34"/>
  <c r="AW48" i="34" s="1"/>
  <c r="H36" i="33"/>
  <c r="I36" i="33" s="1"/>
  <c r="AK36" i="33"/>
  <c r="AC62" i="32"/>
  <c r="AE62" i="32" s="1"/>
  <c r="AH62" i="32" s="1"/>
  <c r="AB62" i="32"/>
  <c r="AD62" i="32" s="1"/>
  <c r="AG61" i="36"/>
  <c r="AF61" i="36"/>
  <c r="AI61" i="36" s="1"/>
  <c r="L33" i="32"/>
  <c r="AA33" i="32"/>
  <c r="N33" i="32"/>
  <c r="AT47" i="34"/>
  <c r="AW47" i="34" s="1"/>
  <c r="AU47" i="34"/>
  <c r="AL64" i="27"/>
  <c r="AM64" i="27"/>
  <c r="AK64" i="27"/>
  <c r="AA64" i="27"/>
  <c r="Z65" i="27"/>
  <c r="AJ64" i="27"/>
  <c r="AC61" i="34"/>
  <c r="AE61" i="34" s="1"/>
  <c r="AH61" i="34" s="1"/>
  <c r="AQ61" i="34"/>
  <c r="AS61" i="34" s="1"/>
  <c r="AV61" i="34" s="1"/>
  <c r="AP61" i="34"/>
  <c r="AR61" i="34" s="1"/>
  <c r="AB61" i="34"/>
  <c r="AD61" i="34" s="1"/>
  <c r="AT56" i="34"/>
  <c r="AW56" i="34" s="1"/>
  <c r="AU56" i="34"/>
  <c r="AT50" i="34"/>
  <c r="AW50" i="34" s="1"/>
  <c r="AU50" i="34"/>
  <c r="AU44" i="34"/>
  <c r="AT44" i="34"/>
  <c r="AW44" i="34" s="1"/>
  <c r="AD36" i="34"/>
  <c r="M35" i="37"/>
  <c r="R32" i="32"/>
  <c r="U32" i="33"/>
  <c r="T32" i="33"/>
  <c r="AP61" i="38"/>
  <c r="AR61" i="38" s="1"/>
  <c r="T34" i="39"/>
  <c r="AQ60" i="37"/>
  <c r="AS60" i="37" s="1"/>
  <c r="AV60" i="37" s="1"/>
  <c r="F37" i="35"/>
  <c r="O37" i="35"/>
  <c r="P37" i="35" s="1"/>
  <c r="Q37" i="35" s="1"/>
  <c r="B38" i="32"/>
  <c r="C38" i="32" s="1"/>
  <c r="AQ38" i="32"/>
  <c r="AQ39" i="32" s="1"/>
  <c r="AR38" i="32"/>
  <c r="AR39" i="32" s="1"/>
  <c r="G38" i="32"/>
  <c r="AO38" i="32"/>
  <c r="AO39" i="32" s="1"/>
  <c r="W3" i="32" s="1"/>
  <c r="D38" i="32"/>
  <c r="E38" i="32"/>
  <c r="AP38" i="32"/>
  <c r="AP39" i="32" s="1"/>
  <c r="AQ62" i="32" s="1"/>
  <c r="AS62" i="32" s="1"/>
  <c r="AV62" i="32" s="1"/>
  <c r="U32" i="38"/>
  <c r="AQ62" i="39"/>
  <c r="AS62" i="39" s="1"/>
  <c r="AV62" i="39" s="1"/>
  <c r="AP62" i="32" l="1"/>
  <c r="AR62" i="32" s="1"/>
  <c r="AU63" i="35"/>
  <c r="T33" i="38"/>
  <c r="X33" i="38"/>
  <c r="U33" i="38"/>
  <c r="V33" i="37"/>
  <c r="W33" i="37"/>
  <c r="AU45" i="38"/>
  <c r="AT45" i="38"/>
  <c r="AW45" i="38" s="1"/>
  <c r="AT55" i="27"/>
  <c r="AW55" i="27" s="1"/>
  <c r="AU55" i="27"/>
  <c r="AD36" i="38"/>
  <c r="M36" i="27"/>
  <c r="AT48" i="27"/>
  <c r="AW48" i="27" s="1"/>
  <c r="AU48" i="27"/>
  <c r="AU41" i="27"/>
  <c r="AT41" i="27"/>
  <c r="AW41" i="27" s="1"/>
  <c r="AT54" i="37"/>
  <c r="AW54" i="37" s="1"/>
  <c r="AU54" i="37"/>
  <c r="AT48" i="37"/>
  <c r="AW48" i="37" s="1"/>
  <c r="AU48" i="37"/>
  <c r="AT55" i="37"/>
  <c r="AW55" i="37" s="1"/>
  <c r="AU55" i="37"/>
  <c r="AT54" i="27"/>
  <c r="AW54" i="27" s="1"/>
  <c r="AU54" i="27"/>
  <c r="AT42" i="37"/>
  <c r="AW42" i="37" s="1"/>
  <c r="AU42" i="37"/>
  <c r="T33" i="33"/>
  <c r="AF38" i="34"/>
  <c r="AI38" i="34"/>
  <c r="AH38" i="34"/>
  <c r="AE38" i="34"/>
  <c r="AB38" i="34" s="1"/>
  <c r="AJ38" i="34"/>
  <c r="AG38" i="34"/>
  <c r="AC38" i="34" s="1"/>
  <c r="Y38" i="34"/>
  <c r="Z38" i="34" s="1"/>
  <c r="J38" i="34" s="1"/>
  <c r="AU50" i="38"/>
  <c r="AT50" i="38"/>
  <c r="AW50" i="38" s="1"/>
  <c r="R34" i="38"/>
  <c r="AB36" i="27"/>
  <c r="K36" i="27" s="1"/>
  <c r="R35" i="34"/>
  <c r="AT59" i="27"/>
  <c r="AW59" i="27" s="1"/>
  <c r="AU59" i="27"/>
  <c r="AT47" i="27"/>
  <c r="AW47" i="27" s="1"/>
  <c r="AU47" i="27"/>
  <c r="AT59" i="37"/>
  <c r="AW59" i="37" s="1"/>
  <c r="AU59" i="37"/>
  <c r="AT53" i="37"/>
  <c r="AW53" i="37" s="1"/>
  <c r="AU53" i="37"/>
  <c r="V31" i="33"/>
  <c r="W31" i="33"/>
  <c r="X33" i="27"/>
  <c r="T33" i="27"/>
  <c r="AG63" i="35"/>
  <c r="AF63" i="35"/>
  <c r="AI63" i="35" s="1"/>
  <c r="AF61" i="37"/>
  <c r="AI61" i="37" s="1"/>
  <c r="AG61" i="37"/>
  <c r="AP63" i="36"/>
  <c r="AR63" i="36" s="1"/>
  <c r="AC63" i="36"/>
  <c r="AE63" i="36" s="1"/>
  <c r="AH63" i="36" s="1"/>
  <c r="AQ63" i="36"/>
  <c r="AS63" i="36" s="1"/>
  <c r="AV63" i="36" s="1"/>
  <c r="AB63" i="36"/>
  <c r="AD63" i="36" s="1"/>
  <c r="AU63" i="31"/>
  <c r="AT63" i="31"/>
  <c r="AW63" i="31" s="1"/>
  <c r="X18" i="33"/>
  <c r="X17" i="33"/>
  <c r="X19" i="33"/>
  <c r="X20" i="33"/>
  <c r="X21" i="33"/>
  <c r="X23" i="33"/>
  <c r="X22" i="33"/>
  <c r="X25" i="33"/>
  <c r="X24" i="33"/>
  <c r="X26" i="33"/>
  <c r="X27" i="33"/>
  <c r="X28" i="33"/>
  <c r="X29" i="33"/>
  <c r="L35" i="38"/>
  <c r="AA35" i="38"/>
  <c r="N35" i="38"/>
  <c r="M35" i="36"/>
  <c r="AJ65" i="39"/>
  <c r="AL65" i="39"/>
  <c r="AM65" i="39"/>
  <c r="AK65" i="39"/>
  <c r="AA65" i="39"/>
  <c r="Z66" i="39"/>
  <c r="S34" i="37"/>
  <c r="T34" i="37" s="1"/>
  <c r="R34" i="37"/>
  <c r="X34" i="37" s="1"/>
  <c r="AI37" i="27"/>
  <c r="AD37" i="27" s="1"/>
  <c r="AG37" i="27"/>
  <c r="Y37" i="27"/>
  <c r="Z37" i="27" s="1"/>
  <c r="J37" i="27" s="1"/>
  <c r="AJ37" i="27"/>
  <c r="AE37" i="27"/>
  <c r="AH37" i="27"/>
  <c r="AF37" i="27"/>
  <c r="AT53" i="27"/>
  <c r="AW53" i="27" s="1"/>
  <c r="AU53" i="27"/>
  <c r="AT47" i="37"/>
  <c r="AW47" i="37" s="1"/>
  <c r="AU47" i="37"/>
  <c r="AT41" i="37"/>
  <c r="AW41" i="37" s="1"/>
  <c r="AU41" i="37"/>
  <c r="X31" i="33"/>
  <c r="AT51" i="38"/>
  <c r="AW51" i="38" s="1"/>
  <c r="AU51" i="38"/>
  <c r="AK64" i="38"/>
  <c r="AA64" i="38"/>
  <c r="AJ64" i="38"/>
  <c r="AL64" i="38"/>
  <c r="AM64" i="38"/>
  <c r="Z65" i="38"/>
  <c r="AP41" i="33"/>
  <c r="AR41" i="33" s="1"/>
  <c r="AQ41" i="33"/>
  <c r="AS41" i="33" s="1"/>
  <c r="AV41" i="33" s="1"/>
  <c r="AQ42" i="33"/>
  <c r="AS42" i="33" s="1"/>
  <c r="AV42" i="33" s="1"/>
  <c r="AP43" i="33"/>
  <c r="AR43" i="33" s="1"/>
  <c r="AQ43" i="33"/>
  <c r="AS43" i="33" s="1"/>
  <c r="AV43" i="33" s="1"/>
  <c r="AP42" i="33"/>
  <c r="AR42" i="33" s="1"/>
  <c r="AQ44" i="33"/>
  <c r="AS44" i="33" s="1"/>
  <c r="AV44" i="33" s="1"/>
  <c r="AP44" i="33"/>
  <c r="AR44" i="33" s="1"/>
  <c r="AP45" i="33"/>
  <c r="AR45" i="33" s="1"/>
  <c r="AQ45" i="33"/>
  <c r="AS45" i="33" s="1"/>
  <c r="AV45" i="33" s="1"/>
  <c r="AQ46" i="33"/>
  <c r="AS46" i="33" s="1"/>
  <c r="AV46" i="33" s="1"/>
  <c r="AP46" i="33"/>
  <c r="AR46" i="33" s="1"/>
  <c r="AP47" i="33"/>
  <c r="AR47" i="33" s="1"/>
  <c r="AQ47" i="33"/>
  <c r="AS47" i="33" s="1"/>
  <c r="AV47" i="33" s="1"/>
  <c r="AP48" i="33"/>
  <c r="AR48" i="33" s="1"/>
  <c r="AQ48" i="33"/>
  <c r="AS48" i="33" s="1"/>
  <c r="AV48" i="33" s="1"/>
  <c r="AQ49" i="33"/>
  <c r="AS49" i="33" s="1"/>
  <c r="AV49" i="33" s="1"/>
  <c r="AP49" i="33"/>
  <c r="AR49" i="33" s="1"/>
  <c r="AQ50" i="33"/>
  <c r="AS50" i="33" s="1"/>
  <c r="AV50" i="33" s="1"/>
  <c r="AP50" i="33"/>
  <c r="AR50" i="33" s="1"/>
  <c r="AQ51" i="33"/>
  <c r="AS51" i="33" s="1"/>
  <c r="AV51" i="33" s="1"/>
  <c r="AP51" i="33"/>
  <c r="AR51" i="33" s="1"/>
  <c r="AQ52" i="33"/>
  <c r="AS52" i="33" s="1"/>
  <c r="AV52" i="33" s="1"/>
  <c r="AP52" i="33"/>
  <c r="AR52" i="33" s="1"/>
  <c r="AQ53" i="33"/>
  <c r="AS53" i="33" s="1"/>
  <c r="AV53" i="33" s="1"/>
  <c r="AP53" i="33"/>
  <c r="AR53" i="33" s="1"/>
  <c r="AQ54" i="33"/>
  <c r="AS54" i="33" s="1"/>
  <c r="AV54" i="33" s="1"/>
  <c r="AP54" i="33"/>
  <c r="AR54" i="33" s="1"/>
  <c r="AP55" i="33"/>
  <c r="AR55" i="33" s="1"/>
  <c r="AQ55" i="33"/>
  <c r="AS55" i="33" s="1"/>
  <c r="AV55" i="33" s="1"/>
  <c r="AP56" i="33"/>
  <c r="AR56" i="33" s="1"/>
  <c r="AQ56" i="33"/>
  <c r="AS56" i="33" s="1"/>
  <c r="AV56" i="33" s="1"/>
  <c r="AP57" i="33"/>
  <c r="AR57" i="33" s="1"/>
  <c r="AQ57" i="33"/>
  <c r="AS57" i="33" s="1"/>
  <c r="AV57" i="33" s="1"/>
  <c r="AQ58" i="33"/>
  <c r="AS58" i="33" s="1"/>
  <c r="AV58" i="33" s="1"/>
  <c r="AP58" i="33"/>
  <c r="AR58" i="33" s="1"/>
  <c r="AP59" i="33"/>
  <c r="AR59" i="33" s="1"/>
  <c r="AQ59" i="33"/>
  <c r="AS59" i="33" s="1"/>
  <c r="AV59" i="33" s="1"/>
  <c r="AP60" i="33"/>
  <c r="AR60" i="33" s="1"/>
  <c r="AQ60" i="33"/>
  <c r="AS60" i="33" s="1"/>
  <c r="AV60" i="33" s="1"/>
  <c r="AP61" i="33"/>
  <c r="AR61" i="33" s="1"/>
  <c r="AQ61" i="33"/>
  <c r="AS61" i="33" s="1"/>
  <c r="AV61" i="33" s="1"/>
  <c r="AT57" i="31"/>
  <c r="AW57" i="31" s="1"/>
  <c r="AU57" i="31"/>
  <c r="AT55" i="38"/>
  <c r="AW55" i="38" s="1"/>
  <c r="AU55" i="38"/>
  <c r="V32" i="35"/>
  <c r="W32" i="35"/>
  <c r="AF37" i="38"/>
  <c r="AI37" i="38"/>
  <c r="AJ37" i="38"/>
  <c r="AG37" i="38"/>
  <c r="Y37" i="38"/>
  <c r="Z37" i="38" s="1"/>
  <c r="J37" i="38" s="1"/>
  <c r="AH37" i="38"/>
  <c r="AE37" i="38"/>
  <c r="AB37" i="38" s="1"/>
  <c r="K37" i="38" s="1"/>
  <c r="AA35" i="36"/>
  <c r="L35" i="36"/>
  <c r="N35" i="36"/>
  <c r="AT58" i="27"/>
  <c r="AW58" i="27" s="1"/>
  <c r="AU58" i="27"/>
  <c r="AT52" i="27"/>
  <c r="AW52" i="27" s="1"/>
  <c r="AU52" i="27"/>
  <c r="V32" i="31"/>
  <c r="W32" i="31"/>
  <c r="AT58" i="37"/>
  <c r="AW58" i="37" s="1"/>
  <c r="AU58" i="37"/>
  <c r="R35" i="37"/>
  <c r="U33" i="27"/>
  <c r="AT60" i="37"/>
  <c r="AW60" i="37" s="1"/>
  <c r="AU60" i="37"/>
  <c r="AD37" i="34"/>
  <c r="AK38" i="38"/>
  <c r="H38" i="38"/>
  <c r="I38" i="38" s="1"/>
  <c r="Z64" i="34"/>
  <c r="AJ63" i="34"/>
  <c r="AA63" i="34"/>
  <c r="AK63" i="34"/>
  <c r="AL63" i="34"/>
  <c r="AM63" i="34"/>
  <c r="AF61" i="34"/>
  <c r="AI61" i="34" s="1"/>
  <c r="AG61" i="34"/>
  <c r="AF62" i="33"/>
  <c r="AI62" i="33" s="1"/>
  <c r="AG62" i="33"/>
  <c r="AT42" i="38"/>
  <c r="AW42" i="38" s="1"/>
  <c r="AU42" i="38"/>
  <c r="AE37" i="37"/>
  <c r="AF37" i="37"/>
  <c r="AG37" i="37"/>
  <c r="AJ37" i="37"/>
  <c r="Y37" i="37"/>
  <c r="Z37" i="37" s="1"/>
  <c r="J37" i="37" s="1"/>
  <c r="AH37" i="37"/>
  <c r="AI37" i="37"/>
  <c r="M35" i="39"/>
  <c r="H38" i="31"/>
  <c r="I38" i="31" s="1"/>
  <c r="AK38" i="31"/>
  <c r="AT45" i="27"/>
  <c r="AW45" i="27" s="1"/>
  <c r="AU45" i="27"/>
  <c r="AU52" i="37"/>
  <c r="AT52" i="37"/>
  <c r="AW52" i="37" s="1"/>
  <c r="AT46" i="37"/>
  <c r="AW46" i="37" s="1"/>
  <c r="AU46" i="37"/>
  <c r="F38" i="32"/>
  <c r="O38" i="32"/>
  <c r="P38" i="32" s="1"/>
  <c r="Q38" i="32" s="1"/>
  <c r="AL64" i="36"/>
  <c r="AM64" i="36"/>
  <c r="AA64" i="36"/>
  <c r="AJ64" i="36"/>
  <c r="AK64" i="36"/>
  <c r="Z65" i="36"/>
  <c r="AT58" i="31"/>
  <c r="AW58" i="31" s="1"/>
  <c r="AU58" i="31"/>
  <c r="S34" i="34"/>
  <c r="X34" i="34" s="1"/>
  <c r="AT58" i="39"/>
  <c r="AW58" i="39" s="1"/>
  <c r="AU58" i="39"/>
  <c r="AF36" i="36"/>
  <c r="AI36" i="36"/>
  <c r="AJ36" i="36"/>
  <c r="AE36" i="36"/>
  <c r="AB36" i="36" s="1"/>
  <c r="AG36" i="36"/>
  <c r="AH36" i="36"/>
  <c r="Y36" i="36"/>
  <c r="Z36" i="36" s="1"/>
  <c r="J36" i="36" s="1"/>
  <c r="X34" i="31"/>
  <c r="AT61" i="38"/>
  <c r="AW61" i="38" s="1"/>
  <c r="AU61" i="38"/>
  <c r="X33" i="33"/>
  <c r="AF63" i="27"/>
  <c r="AI63" i="27" s="1"/>
  <c r="AG63" i="27"/>
  <c r="V32" i="33"/>
  <c r="W32" i="33"/>
  <c r="AP63" i="32"/>
  <c r="AR63" i="32" s="1"/>
  <c r="AB63" i="32"/>
  <c r="AD63" i="32" s="1"/>
  <c r="AC63" i="32"/>
  <c r="AE63" i="32" s="1"/>
  <c r="AH63" i="32" s="1"/>
  <c r="AQ63" i="32"/>
  <c r="AS63" i="32" s="1"/>
  <c r="AV63" i="32" s="1"/>
  <c r="AT50" i="31"/>
  <c r="AW50" i="31" s="1"/>
  <c r="AU50" i="31"/>
  <c r="H38" i="39"/>
  <c r="I38" i="39" s="1"/>
  <c r="AK38" i="39"/>
  <c r="AQ62" i="33"/>
  <c r="AS62" i="33" s="1"/>
  <c r="AV62" i="33" s="1"/>
  <c r="H38" i="37"/>
  <c r="I38" i="37" s="1"/>
  <c r="AK38" i="37"/>
  <c r="AD35" i="33"/>
  <c r="M35" i="35"/>
  <c r="AQ62" i="34"/>
  <c r="AS62" i="34" s="1"/>
  <c r="AV62" i="34" s="1"/>
  <c r="AP62" i="34"/>
  <c r="AR62" i="34" s="1"/>
  <c r="AC62" i="34"/>
  <c r="AE62" i="34" s="1"/>
  <c r="AH62" i="34" s="1"/>
  <c r="AB62" i="34"/>
  <c r="AD62" i="34" s="1"/>
  <c r="AK65" i="35"/>
  <c r="AL65" i="35"/>
  <c r="AA65" i="35"/>
  <c r="AM65" i="35"/>
  <c r="Z66" i="35"/>
  <c r="AJ65" i="35"/>
  <c r="AU61" i="39"/>
  <c r="AT61" i="39"/>
  <c r="AW61" i="39" s="1"/>
  <c r="AU55" i="39"/>
  <c r="AT55" i="39"/>
  <c r="AW55" i="39" s="1"/>
  <c r="AC35" i="33"/>
  <c r="AT55" i="31"/>
  <c r="AW55" i="31" s="1"/>
  <c r="AU55" i="31"/>
  <c r="AT49" i="31"/>
  <c r="AW49" i="31" s="1"/>
  <c r="AU49" i="31"/>
  <c r="AG62" i="38"/>
  <c r="AF62" i="38"/>
  <c r="AI62" i="38" s="1"/>
  <c r="AT59" i="38"/>
  <c r="AW59" i="38" s="1"/>
  <c r="AU59" i="38"/>
  <c r="AT44" i="38"/>
  <c r="AW44" i="38" s="1"/>
  <c r="AU44" i="38"/>
  <c r="W11" i="36"/>
  <c r="X33" i="37"/>
  <c r="AC66" i="31"/>
  <c r="AE66" i="31" s="1"/>
  <c r="AH66" i="31" s="1"/>
  <c r="AQ66" i="31"/>
  <c r="AS66" i="31" s="1"/>
  <c r="AV66" i="31" s="1"/>
  <c r="AB66" i="31"/>
  <c r="AD66" i="31" s="1"/>
  <c r="AP66" i="31"/>
  <c r="AR66" i="31" s="1"/>
  <c r="AQ64" i="39"/>
  <c r="AS64" i="39" s="1"/>
  <c r="AV64" i="39" s="1"/>
  <c r="AC64" i="39"/>
  <c r="AE64" i="39" s="1"/>
  <c r="AH64" i="39" s="1"/>
  <c r="AB64" i="39"/>
  <c r="AD64" i="39" s="1"/>
  <c r="AP64" i="39"/>
  <c r="AR64" i="39" s="1"/>
  <c r="AT57" i="27"/>
  <c r="AW57" i="27" s="1"/>
  <c r="AU57" i="27"/>
  <c r="K35" i="32"/>
  <c r="AU51" i="37"/>
  <c r="AT51" i="37"/>
  <c r="AW51" i="37" s="1"/>
  <c r="AU45" i="37"/>
  <c r="AT45" i="37"/>
  <c r="AW45" i="37" s="1"/>
  <c r="AT62" i="32"/>
  <c r="AW62" i="32" s="1"/>
  <c r="AU62" i="32"/>
  <c r="AU44" i="27"/>
  <c r="AT44" i="27"/>
  <c r="AW44" i="27" s="1"/>
  <c r="X17" i="32"/>
  <c r="X18" i="32"/>
  <c r="X19" i="32"/>
  <c r="X20" i="32"/>
  <c r="X22" i="32"/>
  <c r="X21" i="32"/>
  <c r="X23" i="32"/>
  <c r="X24" i="32"/>
  <c r="X25" i="32"/>
  <c r="X26" i="32"/>
  <c r="X28" i="32"/>
  <c r="X27" i="32"/>
  <c r="X29" i="32"/>
  <c r="X30" i="32"/>
  <c r="V34" i="39"/>
  <c r="W34" i="39"/>
  <c r="AU42" i="27"/>
  <c r="AT42" i="27"/>
  <c r="AW42" i="27" s="1"/>
  <c r="AB64" i="35"/>
  <c r="AD64" i="35" s="1"/>
  <c r="AQ64" i="35"/>
  <c r="AS64" i="35" s="1"/>
  <c r="AV64" i="35" s="1"/>
  <c r="AP64" i="35"/>
  <c r="AR64" i="35" s="1"/>
  <c r="AC64" i="35"/>
  <c r="AE64" i="35" s="1"/>
  <c r="AH64" i="35" s="1"/>
  <c r="AU42" i="39"/>
  <c r="AT42" i="39"/>
  <c r="AW42" i="39" s="1"/>
  <c r="AU43" i="31"/>
  <c r="AT43" i="31"/>
  <c r="AW43" i="31" s="1"/>
  <c r="S34" i="31"/>
  <c r="T34" i="31" s="1"/>
  <c r="R34" i="31"/>
  <c r="U34" i="31" s="1"/>
  <c r="Y36" i="33"/>
  <c r="Z36" i="33" s="1"/>
  <c r="J36" i="33" s="1"/>
  <c r="AH36" i="33"/>
  <c r="AJ36" i="33"/>
  <c r="AF36" i="33"/>
  <c r="AG36" i="33"/>
  <c r="AE36" i="33"/>
  <c r="AI36" i="33"/>
  <c r="V33" i="39"/>
  <c r="W33" i="39"/>
  <c r="AP62" i="33"/>
  <c r="AR62" i="33" s="1"/>
  <c r="AU61" i="34"/>
  <c r="AT61" i="34"/>
  <c r="AW61" i="34" s="1"/>
  <c r="AU41" i="31"/>
  <c r="AT41" i="31"/>
  <c r="AW41" i="31" s="1"/>
  <c r="AC62" i="37"/>
  <c r="AE62" i="37" s="1"/>
  <c r="AH62" i="37" s="1"/>
  <c r="AP62" i="37"/>
  <c r="AR62" i="37" s="1"/>
  <c r="AB62" i="37"/>
  <c r="AD62" i="37" s="1"/>
  <c r="AQ62" i="37"/>
  <c r="AS62" i="37" s="1"/>
  <c r="AV62" i="37" s="1"/>
  <c r="AT48" i="38"/>
  <c r="AW48" i="38" s="1"/>
  <c r="AU48" i="38"/>
  <c r="S32" i="32"/>
  <c r="T32" i="32" s="1"/>
  <c r="X32" i="33"/>
  <c r="H37" i="33"/>
  <c r="I37" i="33" s="1"/>
  <c r="AK37" i="33"/>
  <c r="AL64" i="32"/>
  <c r="AM64" i="32"/>
  <c r="AA64" i="32"/>
  <c r="AJ64" i="32"/>
  <c r="AK64" i="32"/>
  <c r="Z65" i="32"/>
  <c r="AC36" i="37"/>
  <c r="M36" i="37" s="1"/>
  <c r="AU49" i="39"/>
  <c r="AT49" i="39"/>
  <c r="AW49" i="39" s="1"/>
  <c r="AT46" i="39"/>
  <c r="AW46" i="39" s="1"/>
  <c r="AU46" i="39"/>
  <c r="AT60" i="31"/>
  <c r="AW60" i="31" s="1"/>
  <c r="AU60" i="31"/>
  <c r="AT54" i="31"/>
  <c r="AW54" i="31" s="1"/>
  <c r="AU54" i="31"/>
  <c r="AU48" i="31"/>
  <c r="AT48" i="31"/>
  <c r="AW48" i="31" s="1"/>
  <c r="AT47" i="31"/>
  <c r="AW47" i="31" s="1"/>
  <c r="AU47" i="31"/>
  <c r="S34" i="35"/>
  <c r="R34" i="35"/>
  <c r="AU62" i="38"/>
  <c r="AT62" i="38"/>
  <c r="AW62" i="38" s="1"/>
  <c r="U34" i="39"/>
  <c r="AT53" i="38"/>
  <c r="AW53" i="38" s="1"/>
  <c r="AU53" i="38"/>
  <c r="AT47" i="38"/>
  <c r="AW47" i="38" s="1"/>
  <c r="AU47" i="38"/>
  <c r="S34" i="27"/>
  <c r="U34" i="27" s="1"/>
  <c r="AQ41" i="36"/>
  <c r="AS41" i="36" s="1"/>
  <c r="AV41" i="36" s="1"/>
  <c r="AQ42" i="36"/>
  <c r="AS42" i="36" s="1"/>
  <c r="AV42" i="36" s="1"/>
  <c r="AP42" i="36"/>
  <c r="AR42" i="36" s="1"/>
  <c r="AP41" i="36"/>
  <c r="AR41" i="36" s="1"/>
  <c r="AQ43" i="36"/>
  <c r="AS43" i="36" s="1"/>
  <c r="AV43" i="36" s="1"/>
  <c r="AP43" i="36"/>
  <c r="AR43" i="36" s="1"/>
  <c r="AQ44" i="36"/>
  <c r="AS44" i="36" s="1"/>
  <c r="AV44" i="36" s="1"/>
  <c r="AP45" i="36"/>
  <c r="AR45" i="36" s="1"/>
  <c r="AP44" i="36"/>
  <c r="AR44" i="36" s="1"/>
  <c r="AQ45" i="36"/>
  <c r="AS45" i="36" s="1"/>
  <c r="AV45" i="36" s="1"/>
  <c r="AQ46" i="36"/>
  <c r="AS46" i="36" s="1"/>
  <c r="AV46" i="36" s="1"/>
  <c r="AP46" i="36"/>
  <c r="AR46" i="36" s="1"/>
  <c r="AP47" i="36"/>
  <c r="AR47" i="36" s="1"/>
  <c r="AQ47" i="36"/>
  <c r="AS47" i="36" s="1"/>
  <c r="AV47" i="36" s="1"/>
  <c r="AP48" i="36"/>
  <c r="AR48" i="36" s="1"/>
  <c r="AQ48" i="36"/>
  <c r="AS48" i="36" s="1"/>
  <c r="AV48" i="36" s="1"/>
  <c r="AQ49" i="36"/>
  <c r="AS49" i="36" s="1"/>
  <c r="AV49" i="36" s="1"/>
  <c r="AP49" i="36"/>
  <c r="AR49" i="36" s="1"/>
  <c r="AQ50" i="36"/>
  <c r="AS50" i="36" s="1"/>
  <c r="AV50" i="36" s="1"/>
  <c r="AP50" i="36"/>
  <c r="AR50" i="36" s="1"/>
  <c r="AP51" i="36"/>
  <c r="AR51" i="36" s="1"/>
  <c r="AQ51" i="36"/>
  <c r="AS51" i="36" s="1"/>
  <c r="AV51" i="36" s="1"/>
  <c r="AP52" i="36"/>
  <c r="AR52" i="36" s="1"/>
  <c r="AQ52" i="36"/>
  <c r="AS52" i="36" s="1"/>
  <c r="AV52" i="36" s="1"/>
  <c r="AP53" i="36"/>
  <c r="AR53" i="36" s="1"/>
  <c r="AQ53" i="36"/>
  <c r="AS53" i="36" s="1"/>
  <c r="AV53" i="36" s="1"/>
  <c r="AP54" i="36"/>
  <c r="AR54" i="36" s="1"/>
  <c r="AQ54" i="36"/>
  <c r="AS54" i="36" s="1"/>
  <c r="AV54" i="36" s="1"/>
  <c r="AQ55" i="36"/>
  <c r="AS55" i="36" s="1"/>
  <c r="AV55" i="36" s="1"/>
  <c r="AP55" i="36"/>
  <c r="AR55" i="36" s="1"/>
  <c r="AQ56" i="36"/>
  <c r="AS56" i="36" s="1"/>
  <c r="AV56" i="36" s="1"/>
  <c r="AP56" i="36"/>
  <c r="AR56" i="36" s="1"/>
  <c r="AP57" i="36"/>
  <c r="AR57" i="36" s="1"/>
  <c r="AQ57" i="36"/>
  <c r="AS57" i="36" s="1"/>
  <c r="AV57" i="36" s="1"/>
  <c r="AQ58" i="36"/>
  <c r="AS58" i="36" s="1"/>
  <c r="AV58" i="36" s="1"/>
  <c r="AP58" i="36"/>
  <c r="AR58" i="36" s="1"/>
  <c r="AQ59" i="36"/>
  <c r="AS59" i="36" s="1"/>
  <c r="AV59" i="36" s="1"/>
  <c r="AP59" i="36"/>
  <c r="AR59" i="36" s="1"/>
  <c r="AP60" i="36"/>
  <c r="AR60" i="36" s="1"/>
  <c r="AQ60" i="36"/>
  <c r="AS60" i="36" s="1"/>
  <c r="AV60" i="36" s="1"/>
  <c r="AQ61" i="36"/>
  <c r="AS61" i="36" s="1"/>
  <c r="AV61" i="36" s="1"/>
  <c r="AP61" i="36"/>
  <c r="AR61" i="36" s="1"/>
  <c r="AA35" i="39"/>
  <c r="L35" i="39"/>
  <c r="N35" i="39"/>
  <c r="X31" i="32"/>
  <c r="H37" i="36"/>
  <c r="I37" i="36" s="1"/>
  <c r="AK37" i="36"/>
  <c r="U33" i="36"/>
  <c r="AA34" i="33"/>
  <c r="L34" i="33"/>
  <c r="N34" i="33"/>
  <c r="AE36" i="35"/>
  <c r="AB36" i="35" s="1"/>
  <c r="K36" i="35" s="1"/>
  <c r="AF36" i="35"/>
  <c r="Y36" i="35"/>
  <c r="Z36" i="35" s="1"/>
  <c r="J36" i="35" s="1"/>
  <c r="AH36" i="35"/>
  <c r="AI36" i="35"/>
  <c r="AD36" i="35" s="1"/>
  <c r="AJ36" i="35"/>
  <c r="AG36" i="35"/>
  <c r="AC36" i="35" s="1"/>
  <c r="AT51" i="27"/>
  <c r="AW51" i="27" s="1"/>
  <c r="AU51" i="27"/>
  <c r="AT43" i="27"/>
  <c r="AW43" i="27" s="1"/>
  <c r="AU43" i="27"/>
  <c r="AA35" i="32"/>
  <c r="L35" i="32"/>
  <c r="N35" i="32"/>
  <c r="AU57" i="37"/>
  <c r="AT57" i="37"/>
  <c r="AW57" i="37" s="1"/>
  <c r="V31" i="36"/>
  <c r="W31" i="36"/>
  <c r="R34" i="32"/>
  <c r="S34" i="32" s="1"/>
  <c r="AT43" i="39"/>
  <c r="AW43" i="39" s="1"/>
  <c r="AU43" i="39"/>
  <c r="AT52" i="39"/>
  <c r="AW52" i="39" s="1"/>
  <c r="AU52" i="39"/>
  <c r="AA36" i="27"/>
  <c r="L36" i="27"/>
  <c r="N36" i="27"/>
  <c r="AT60" i="27"/>
  <c r="AW60" i="27" s="1"/>
  <c r="AU60" i="27"/>
  <c r="AU57" i="39"/>
  <c r="AT57" i="39"/>
  <c r="AW57" i="39" s="1"/>
  <c r="AT51" i="31"/>
  <c r="AW51" i="31" s="1"/>
  <c r="AU51" i="31"/>
  <c r="AU49" i="38"/>
  <c r="AT49" i="38"/>
  <c r="AW49" i="38" s="1"/>
  <c r="AT41" i="38"/>
  <c r="AW41" i="38" s="1"/>
  <c r="AU41" i="38"/>
  <c r="AT63" i="27"/>
  <c r="AW63" i="27" s="1"/>
  <c r="AU63" i="27"/>
  <c r="AT56" i="39"/>
  <c r="AW56" i="39" s="1"/>
  <c r="AU56" i="39"/>
  <c r="AT61" i="31"/>
  <c r="AW61" i="31" s="1"/>
  <c r="AU61" i="31"/>
  <c r="AG36" i="32"/>
  <c r="Y36" i="32"/>
  <c r="Z36" i="32" s="1"/>
  <c r="J36" i="32" s="1"/>
  <c r="AJ36" i="32"/>
  <c r="AF36" i="32"/>
  <c r="AE36" i="32"/>
  <c r="AH36" i="32"/>
  <c r="AI36" i="32"/>
  <c r="AL63" i="37"/>
  <c r="Z64" i="37"/>
  <c r="AA63" i="37"/>
  <c r="AJ63" i="37"/>
  <c r="AK63" i="37"/>
  <c r="AM63" i="37"/>
  <c r="F38" i="33"/>
  <c r="O38" i="33"/>
  <c r="P38" i="33" s="1"/>
  <c r="Q38" i="33" s="1"/>
  <c r="AJ65" i="27"/>
  <c r="Z66" i="27"/>
  <c r="AK65" i="27"/>
  <c r="AL65" i="27"/>
  <c r="AM65" i="27"/>
  <c r="AA65" i="27"/>
  <c r="AD36" i="37"/>
  <c r="AT60" i="39"/>
  <c r="AW60" i="39" s="1"/>
  <c r="AU60" i="39"/>
  <c r="AT54" i="39"/>
  <c r="AW54" i="39" s="1"/>
  <c r="AU54" i="39"/>
  <c r="AU48" i="39"/>
  <c r="AT48" i="39"/>
  <c r="AW48" i="39" s="1"/>
  <c r="AT44" i="39"/>
  <c r="AW44" i="39" s="1"/>
  <c r="AU44" i="39"/>
  <c r="AP63" i="33"/>
  <c r="AR63" i="33" s="1"/>
  <c r="AQ63" i="33"/>
  <c r="AS63" i="33" s="1"/>
  <c r="AV63" i="33" s="1"/>
  <c r="AC63" i="33"/>
  <c r="AE63" i="33" s="1"/>
  <c r="AH63" i="33" s="1"/>
  <c r="AB63" i="33"/>
  <c r="AD63" i="33" s="1"/>
  <c r="AU45" i="31"/>
  <c r="AT45" i="31"/>
  <c r="AW45" i="31" s="1"/>
  <c r="O38" i="35"/>
  <c r="P38" i="35" s="1"/>
  <c r="Q38" i="35" s="1"/>
  <c r="F38" i="35"/>
  <c r="V33" i="34"/>
  <c r="W33" i="34"/>
  <c r="AT58" i="38"/>
  <c r="AW58" i="38" s="1"/>
  <c r="AU58" i="38"/>
  <c r="L36" i="39"/>
  <c r="AA36" i="39"/>
  <c r="N36" i="39"/>
  <c r="M37" i="34"/>
  <c r="K36" i="31"/>
  <c r="M36" i="31" s="1"/>
  <c r="V32" i="36"/>
  <c r="W32" i="36"/>
  <c r="S33" i="36"/>
  <c r="X33" i="36" s="1"/>
  <c r="AQ62" i="36"/>
  <c r="AS62" i="36" s="1"/>
  <c r="AV62" i="36" s="1"/>
  <c r="AT50" i="37"/>
  <c r="AW50" i="37" s="1"/>
  <c r="AU50" i="37"/>
  <c r="T33" i="36"/>
  <c r="AT52" i="31"/>
  <c r="AW52" i="31" s="1"/>
  <c r="AU52" i="31"/>
  <c r="W11" i="35"/>
  <c r="AU56" i="38"/>
  <c r="AT56" i="38"/>
  <c r="AW56" i="38" s="1"/>
  <c r="AB35" i="33"/>
  <c r="K35" i="33" s="1"/>
  <c r="W11" i="32"/>
  <c r="AT51" i="39"/>
  <c r="AW51" i="39" s="1"/>
  <c r="AU51" i="39"/>
  <c r="AT56" i="31"/>
  <c r="AW56" i="31" s="1"/>
  <c r="AU56" i="31"/>
  <c r="L36" i="31"/>
  <c r="AA36" i="31"/>
  <c r="N36" i="31"/>
  <c r="AU50" i="39"/>
  <c r="AT50" i="39"/>
  <c r="AW50" i="39" s="1"/>
  <c r="AT54" i="38"/>
  <c r="AW54" i="38" s="1"/>
  <c r="AU54" i="38"/>
  <c r="R33" i="32"/>
  <c r="AT60" i="38"/>
  <c r="AW60" i="38" s="1"/>
  <c r="AU60" i="38"/>
  <c r="AH37" i="39"/>
  <c r="AE37" i="39"/>
  <c r="AB37" i="39" s="1"/>
  <c r="K37" i="39" s="1"/>
  <c r="Y37" i="39"/>
  <c r="Z37" i="39" s="1"/>
  <c r="J37" i="39" s="1"/>
  <c r="AG37" i="39"/>
  <c r="AI37" i="39"/>
  <c r="AD37" i="39" s="1"/>
  <c r="AJ37" i="39"/>
  <c r="AF37" i="39"/>
  <c r="AC64" i="27"/>
  <c r="AE64" i="27" s="1"/>
  <c r="AH64" i="27" s="1"/>
  <c r="AP64" i="27"/>
  <c r="AR64" i="27" s="1"/>
  <c r="AB64" i="27"/>
  <c r="AD64" i="27" s="1"/>
  <c r="AQ64" i="27"/>
  <c r="AS64" i="27" s="1"/>
  <c r="AV64" i="27" s="1"/>
  <c r="AQ63" i="38"/>
  <c r="AS63" i="38" s="1"/>
  <c r="AV63" i="38" s="1"/>
  <c r="AC63" i="38"/>
  <c r="AE63" i="38" s="1"/>
  <c r="AH63" i="38" s="1"/>
  <c r="AP63" i="38"/>
  <c r="AR63" i="38" s="1"/>
  <c r="AB63" i="38"/>
  <c r="AD63" i="38" s="1"/>
  <c r="H38" i="27"/>
  <c r="I38" i="27" s="1"/>
  <c r="AK38" i="27"/>
  <c r="AJ64" i="33"/>
  <c r="Z65" i="33"/>
  <c r="AA64" i="33"/>
  <c r="AK64" i="33"/>
  <c r="AL64" i="33"/>
  <c r="AM64" i="33"/>
  <c r="AT59" i="31"/>
  <c r="AW59" i="31" s="1"/>
  <c r="AU59" i="31"/>
  <c r="AT53" i="31"/>
  <c r="AW53" i="31" s="1"/>
  <c r="AU53" i="31"/>
  <c r="AU46" i="31"/>
  <c r="AT46" i="31"/>
  <c r="AW46" i="31" s="1"/>
  <c r="AU42" i="31"/>
  <c r="AT42" i="31"/>
  <c r="AW42" i="31" s="1"/>
  <c r="AD35" i="35"/>
  <c r="AA35" i="27"/>
  <c r="L35" i="27"/>
  <c r="N35" i="27"/>
  <c r="AT52" i="38"/>
  <c r="AW52" i="38" s="1"/>
  <c r="AU52" i="38"/>
  <c r="AT46" i="38"/>
  <c r="AW46" i="38" s="1"/>
  <c r="AU46" i="38"/>
  <c r="S33" i="35"/>
  <c r="X33" i="35" s="1"/>
  <c r="AB36" i="39"/>
  <c r="K36" i="39" s="1"/>
  <c r="F38" i="36"/>
  <c r="O38" i="36"/>
  <c r="P38" i="36" s="1"/>
  <c r="Q38" i="36" s="1"/>
  <c r="AB36" i="38"/>
  <c r="K36" i="38" s="1"/>
  <c r="AF65" i="31"/>
  <c r="AI65" i="31" s="1"/>
  <c r="AG65" i="31"/>
  <c r="AL67" i="31"/>
  <c r="AJ67" i="31"/>
  <c r="AK67" i="31"/>
  <c r="AM67" i="31"/>
  <c r="AA67" i="31"/>
  <c r="Z68" i="31"/>
  <c r="AF62" i="36"/>
  <c r="AI62" i="36" s="1"/>
  <c r="AG62" i="36"/>
  <c r="AT56" i="27"/>
  <c r="AW56" i="27" s="1"/>
  <c r="AU56" i="27"/>
  <c r="AT50" i="27"/>
  <c r="AW50" i="27" s="1"/>
  <c r="AU50" i="27"/>
  <c r="AC35" i="32"/>
  <c r="AU56" i="37"/>
  <c r="AT56" i="37"/>
  <c r="AW56" i="37" s="1"/>
  <c r="AT44" i="37"/>
  <c r="AW44" i="37" s="1"/>
  <c r="AU44" i="37"/>
  <c r="AU63" i="39"/>
  <c r="AT63" i="39"/>
  <c r="AW63" i="39" s="1"/>
  <c r="AT59" i="39"/>
  <c r="AW59" i="39" s="1"/>
  <c r="AU59" i="39"/>
  <c r="AK37" i="32"/>
  <c r="H37" i="32"/>
  <c r="I37" i="32" s="1"/>
  <c r="AU43" i="38"/>
  <c r="AT43" i="38"/>
  <c r="AW43" i="38" s="1"/>
  <c r="AP42" i="35"/>
  <c r="AR42" i="35" s="1"/>
  <c r="AP44" i="35"/>
  <c r="AR44" i="35" s="1"/>
  <c r="AQ41" i="35"/>
  <c r="AS41" i="35" s="1"/>
  <c r="AV41" i="35" s="1"/>
  <c r="AQ43" i="35"/>
  <c r="AS43" i="35" s="1"/>
  <c r="AV43" i="35" s="1"/>
  <c r="AP43" i="35"/>
  <c r="AR43" i="35" s="1"/>
  <c r="AP41" i="35"/>
  <c r="AR41" i="35" s="1"/>
  <c r="AP45" i="35"/>
  <c r="AR45" i="35" s="1"/>
  <c r="AQ44" i="35"/>
  <c r="AS44" i="35" s="1"/>
  <c r="AV44" i="35" s="1"/>
  <c r="AQ45" i="35"/>
  <c r="AS45" i="35" s="1"/>
  <c r="AV45" i="35" s="1"/>
  <c r="AQ42" i="35"/>
  <c r="AS42" i="35" s="1"/>
  <c r="AV42" i="35" s="1"/>
  <c r="AP46" i="35"/>
  <c r="AR46" i="35" s="1"/>
  <c r="AQ46" i="35"/>
  <c r="AS46" i="35" s="1"/>
  <c r="AV46" i="35" s="1"/>
  <c r="AP47" i="35"/>
  <c r="AR47" i="35" s="1"/>
  <c r="AQ47" i="35"/>
  <c r="AS47" i="35" s="1"/>
  <c r="AV47" i="35" s="1"/>
  <c r="AQ48" i="35"/>
  <c r="AS48" i="35" s="1"/>
  <c r="AV48" i="35" s="1"/>
  <c r="AP48" i="35"/>
  <c r="AR48" i="35" s="1"/>
  <c r="AQ49" i="35"/>
  <c r="AS49" i="35" s="1"/>
  <c r="AV49" i="35" s="1"/>
  <c r="AP49" i="35"/>
  <c r="AR49" i="35" s="1"/>
  <c r="AQ50" i="35"/>
  <c r="AS50" i="35" s="1"/>
  <c r="AV50" i="35" s="1"/>
  <c r="AP50" i="35"/>
  <c r="AR50" i="35" s="1"/>
  <c r="AP51" i="35"/>
  <c r="AR51" i="35" s="1"/>
  <c r="AQ51" i="35"/>
  <c r="AS51" i="35" s="1"/>
  <c r="AV51" i="35" s="1"/>
  <c r="AQ52" i="35"/>
  <c r="AS52" i="35" s="1"/>
  <c r="AV52" i="35" s="1"/>
  <c r="AP52" i="35"/>
  <c r="AR52" i="35" s="1"/>
  <c r="AQ53" i="35"/>
  <c r="AS53" i="35" s="1"/>
  <c r="AV53" i="35" s="1"/>
  <c r="AP53" i="35"/>
  <c r="AR53" i="35" s="1"/>
  <c r="AP54" i="35"/>
  <c r="AR54" i="35" s="1"/>
  <c r="AQ54" i="35"/>
  <c r="AS54" i="35" s="1"/>
  <c r="AV54" i="35" s="1"/>
  <c r="AQ55" i="35"/>
  <c r="AS55" i="35" s="1"/>
  <c r="AV55" i="35" s="1"/>
  <c r="AP55" i="35"/>
  <c r="AR55" i="35" s="1"/>
  <c r="AP56" i="35"/>
  <c r="AR56" i="35" s="1"/>
  <c r="AQ56" i="35"/>
  <c r="AS56" i="35" s="1"/>
  <c r="AV56" i="35" s="1"/>
  <c r="AP57" i="35"/>
  <c r="AR57" i="35" s="1"/>
  <c r="AQ57" i="35"/>
  <c r="AS57" i="35" s="1"/>
  <c r="AV57" i="35" s="1"/>
  <c r="AP58" i="35"/>
  <c r="AR58" i="35" s="1"/>
  <c r="AQ58" i="35"/>
  <c r="AS58" i="35" s="1"/>
  <c r="AV58" i="35" s="1"/>
  <c r="AQ59" i="35"/>
  <c r="AS59" i="35" s="1"/>
  <c r="AV59" i="35" s="1"/>
  <c r="AP59" i="35"/>
  <c r="AR59" i="35" s="1"/>
  <c r="AP60" i="35"/>
  <c r="AR60" i="35" s="1"/>
  <c r="AQ60" i="35"/>
  <c r="AS60" i="35" s="1"/>
  <c r="AV60" i="35" s="1"/>
  <c r="AQ61" i="35"/>
  <c r="AS61" i="35" s="1"/>
  <c r="AV61" i="35" s="1"/>
  <c r="AP61" i="35"/>
  <c r="AR61" i="35" s="1"/>
  <c r="AP62" i="35"/>
  <c r="AR62" i="35" s="1"/>
  <c r="AQ62" i="35"/>
  <c r="AS62" i="35" s="1"/>
  <c r="AV62" i="35" s="1"/>
  <c r="AT61" i="37"/>
  <c r="AW61" i="37" s="1"/>
  <c r="AU61" i="37"/>
  <c r="V32" i="37"/>
  <c r="W32" i="37"/>
  <c r="L35" i="31"/>
  <c r="AA35" i="31"/>
  <c r="N35" i="31"/>
  <c r="AT62" i="31"/>
  <c r="AW62" i="31" s="1"/>
  <c r="AU62" i="31"/>
  <c r="AT41" i="39"/>
  <c r="AW41" i="39" s="1"/>
  <c r="AU41" i="39"/>
  <c r="H37" i="35"/>
  <c r="I37" i="35" s="1"/>
  <c r="AK37" i="35"/>
  <c r="AA36" i="34"/>
  <c r="L36" i="34"/>
  <c r="N36" i="34"/>
  <c r="AP44" i="32"/>
  <c r="AR44" i="32" s="1"/>
  <c r="AQ42" i="32"/>
  <c r="AS42" i="32" s="1"/>
  <c r="AV42" i="32" s="1"/>
  <c r="AQ41" i="32"/>
  <c r="AS41" i="32" s="1"/>
  <c r="AV41" i="32" s="1"/>
  <c r="AP42" i="32"/>
  <c r="AR42" i="32" s="1"/>
  <c r="AQ44" i="32"/>
  <c r="AS44" i="32" s="1"/>
  <c r="AV44" i="32" s="1"/>
  <c r="AP43" i="32"/>
  <c r="AR43" i="32" s="1"/>
  <c r="AP45" i="32"/>
  <c r="AR45" i="32" s="1"/>
  <c r="AQ43" i="32"/>
  <c r="AS43" i="32" s="1"/>
  <c r="AV43" i="32" s="1"/>
  <c r="AQ45" i="32"/>
  <c r="AS45" i="32" s="1"/>
  <c r="AV45" i="32" s="1"/>
  <c r="AP41" i="32"/>
  <c r="AR41" i="32" s="1"/>
  <c r="AQ46" i="32"/>
  <c r="AS46" i="32" s="1"/>
  <c r="AV46" i="32" s="1"/>
  <c r="AP46" i="32"/>
  <c r="AR46" i="32" s="1"/>
  <c r="AQ47" i="32"/>
  <c r="AS47" i="32" s="1"/>
  <c r="AV47" i="32" s="1"/>
  <c r="AP47" i="32"/>
  <c r="AR47" i="32" s="1"/>
  <c r="AQ48" i="32"/>
  <c r="AS48" i="32" s="1"/>
  <c r="AV48" i="32" s="1"/>
  <c r="AP48" i="32"/>
  <c r="AR48" i="32" s="1"/>
  <c r="AQ49" i="32"/>
  <c r="AS49" i="32" s="1"/>
  <c r="AV49" i="32" s="1"/>
  <c r="AP49" i="32"/>
  <c r="AR49" i="32" s="1"/>
  <c r="AQ50" i="32"/>
  <c r="AS50" i="32" s="1"/>
  <c r="AV50" i="32" s="1"/>
  <c r="AP50" i="32"/>
  <c r="AR50" i="32" s="1"/>
  <c r="AQ51" i="32"/>
  <c r="AS51" i="32" s="1"/>
  <c r="AV51" i="32" s="1"/>
  <c r="AP51" i="32"/>
  <c r="AR51" i="32" s="1"/>
  <c r="AP52" i="32"/>
  <c r="AR52" i="32" s="1"/>
  <c r="AQ52" i="32"/>
  <c r="AS52" i="32" s="1"/>
  <c r="AV52" i="32" s="1"/>
  <c r="AQ53" i="32"/>
  <c r="AS53" i="32" s="1"/>
  <c r="AV53" i="32" s="1"/>
  <c r="AP53" i="32"/>
  <c r="AR53" i="32" s="1"/>
  <c r="AQ54" i="32"/>
  <c r="AS54" i="32" s="1"/>
  <c r="AV54" i="32" s="1"/>
  <c r="AP54" i="32"/>
  <c r="AR54" i="32" s="1"/>
  <c r="AQ55" i="32"/>
  <c r="AS55" i="32" s="1"/>
  <c r="AV55" i="32" s="1"/>
  <c r="AP55" i="32"/>
  <c r="AR55" i="32" s="1"/>
  <c r="AQ56" i="32"/>
  <c r="AS56" i="32" s="1"/>
  <c r="AV56" i="32" s="1"/>
  <c r="AP56" i="32"/>
  <c r="AR56" i="32" s="1"/>
  <c r="AQ57" i="32"/>
  <c r="AS57" i="32" s="1"/>
  <c r="AV57" i="32" s="1"/>
  <c r="AP57" i="32"/>
  <c r="AR57" i="32" s="1"/>
  <c r="AP58" i="32"/>
  <c r="AR58" i="32" s="1"/>
  <c r="AQ58" i="32"/>
  <c r="AS58" i="32" s="1"/>
  <c r="AV58" i="32" s="1"/>
  <c r="AP59" i="32"/>
  <c r="AR59" i="32" s="1"/>
  <c r="AQ59" i="32"/>
  <c r="AS59" i="32" s="1"/>
  <c r="AV59" i="32" s="1"/>
  <c r="AP60" i="32"/>
  <c r="AR60" i="32" s="1"/>
  <c r="AQ60" i="32"/>
  <c r="AS60" i="32" s="1"/>
  <c r="AV60" i="32" s="1"/>
  <c r="AQ61" i="32"/>
  <c r="AS61" i="32" s="1"/>
  <c r="AV61" i="32" s="1"/>
  <c r="AP61" i="32"/>
  <c r="AR61" i="32" s="1"/>
  <c r="AG62" i="32"/>
  <c r="AF62" i="32"/>
  <c r="AI62" i="32" s="1"/>
  <c r="AF63" i="39"/>
  <c r="AI63" i="39" s="1"/>
  <c r="AG63" i="39"/>
  <c r="AB36" i="37"/>
  <c r="K36" i="37" s="1"/>
  <c r="AU53" i="39"/>
  <c r="AT53" i="39"/>
  <c r="AW53" i="39" s="1"/>
  <c r="AT47" i="39"/>
  <c r="AW47" i="39" s="1"/>
  <c r="AU47" i="39"/>
  <c r="AU45" i="39"/>
  <c r="AT45" i="39"/>
  <c r="AW45" i="39" s="1"/>
  <c r="AU44" i="31"/>
  <c r="AT44" i="31"/>
  <c r="AW44" i="31" s="1"/>
  <c r="L34" i="36"/>
  <c r="AA34" i="36"/>
  <c r="N34" i="36"/>
  <c r="X17" i="35"/>
  <c r="X18" i="35"/>
  <c r="X19" i="35"/>
  <c r="X20" i="35"/>
  <c r="X21" i="35"/>
  <c r="X22" i="35"/>
  <c r="X24" i="35"/>
  <c r="X23" i="35"/>
  <c r="X25" i="35"/>
  <c r="X26" i="35"/>
  <c r="X27" i="35"/>
  <c r="X29" i="35"/>
  <c r="X31" i="35"/>
  <c r="X28" i="35"/>
  <c r="X30" i="35"/>
  <c r="AQ63" i="35"/>
  <c r="AS63" i="35" s="1"/>
  <c r="AV63" i="35" s="1"/>
  <c r="AU57" i="38"/>
  <c r="AT57" i="38"/>
  <c r="AW57" i="38" s="1"/>
  <c r="AF37" i="31"/>
  <c r="AI37" i="31"/>
  <c r="AD37" i="31" s="1"/>
  <c r="AE37" i="31"/>
  <c r="AG37" i="31"/>
  <c r="Y37" i="31"/>
  <c r="Z37" i="31" s="1"/>
  <c r="J37" i="31" s="1"/>
  <c r="AH37" i="31"/>
  <c r="AJ37" i="31"/>
  <c r="X17" i="36"/>
  <c r="X18" i="36"/>
  <c r="X19" i="36"/>
  <c r="X20" i="36"/>
  <c r="X23" i="36"/>
  <c r="X22" i="36"/>
  <c r="X21" i="36"/>
  <c r="X24" i="36"/>
  <c r="X25" i="36"/>
  <c r="X26" i="36"/>
  <c r="X27" i="36"/>
  <c r="X28" i="36"/>
  <c r="X29" i="36"/>
  <c r="X30" i="36"/>
  <c r="AC36" i="38"/>
  <c r="AU65" i="31"/>
  <c r="AT65" i="31"/>
  <c r="AW65" i="31" s="1"/>
  <c r="AP62" i="36"/>
  <c r="AR62" i="36" s="1"/>
  <c r="AT62" i="39"/>
  <c r="AW62" i="39" s="1"/>
  <c r="AT61" i="27"/>
  <c r="AW61" i="27" s="1"/>
  <c r="AU61" i="27"/>
  <c r="AT49" i="27"/>
  <c r="AW49" i="27" s="1"/>
  <c r="AU49" i="27"/>
  <c r="AU46" i="27"/>
  <c r="AT46" i="27"/>
  <c r="AW46" i="27" s="1"/>
  <c r="AT49" i="37"/>
  <c r="AW49" i="37" s="1"/>
  <c r="AU49" i="37"/>
  <c r="AT43" i="37"/>
  <c r="AW43" i="37" s="1"/>
  <c r="AU43" i="37"/>
  <c r="X30" i="33"/>
  <c r="U32" i="36"/>
  <c r="U32" i="32" l="1"/>
  <c r="AC36" i="32"/>
  <c r="AD36" i="32"/>
  <c r="V32" i="32"/>
  <c r="W32" i="32"/>
  <c r="V34" i="31"/>
  <c r="W34" i="31"/>
  <c r="V34" i="37"/>
  <c r="W34" i="37"/>
  <c r="AT62" i="36"/>
  <c r="AW62" i="36" s="1"/>
  <c r="AU62" i="36"/>
  <c r="AT45" i="32"/>
  <c r="AW45" i="32" s="1"/>
  <c r="AU45" i="32"/>
  <c r="V33" i="36"/>
  <c r="W33" i="36"/>
  <c r="U34" i="32"/>
  <c r="R35" i="32"/>
  <c r="S35" i="32" s="1"/>
  <c r="AT41" i="36"/>
  <c r="AW41" i="36" s="1"/>
  <c r="AU41" i="36"/>
  <c r="T34" i="35"/>
  <c r="U34" i="35"/>
  <c r="AF64" i="35"/>
  <c r="AI64" i="35" s="1"/>
  <c r="AG64" i="35"/>
  <c r="AT66" i="31"/>
  <c r="AW66" i="31" s="1"/>
  <c r="AU66" i="31"/>
  <c r="AT62" i="34"/>
  <c r="AW62" i="34" s="1"/>
  <c r="AU62" i="34"/>
  <c r="AT53" i="33"/>
  <c r="AW53" i="33" s="1"/>
  <c r="AU53" i="33"/>
  <c r="S34" i="38"/>
  <c r="X34" i="38" s="1"/>
  <c r="X32" i="32"/>
  <c r="L37" i="27"/>
  <c r="AA37" i="27"/>
  <c r="N37" i="27"/>
  <c r="AT59" i="33"/>
  <c r="AW59" i="33" s="1"/>
  <c r="AU59" i="33"/>
  <c r="AT47" i="33"/>
  <c r="AW47" i="33" s="1"/>
  <c r="AU47" i="33"/>
  <c r="AT41" i="33"/>
  <c r="AW41" i="33" s="1"/>
  <c r="AU41" i="33"/>
  <c r="R35" i="38"/>
  <c r="T34" i="32"/>
  <c r="AT48" i="33"/>
  <c r="AW48" i="33" s="1"/>
  <c r="AU48" i="33"/>
  <c r="AT61" i="35"/>
  <c r="AW61" i="35" s="1"/>
  <c r="AU61" i="35"/>
  <c r="AP65" i="27"/>
  <c r="AR65" i="27" s="1"/>
  <c r="AC65" i="27"/>
  <c r="AE65" i="27" s="1"/>
  <c r="AH65" i="27" s="1"/>
  <c r="AB65" i="27"/>
  <c r="AD65" i="27" s="1"/>
  <c r="AQ65" i="27"/>
  <c r="AS65" i="27" s="1"/>
  <c r="AV65" i="27" s="1"/>
  <c r="Z65" i="37"/>
  <c r="AJ64" i="37"/>
  <c r="AK64" i="37"/>
  <c r="AA64" i="37"/>
  <c r="AL64" i="37"/>
  <c r="AM64" i="37"/>
  <c r="R34" i="33"/>
  <c r="AT59" i="36"/>
  <c r="AW59" i="36" s="1"/>
  <c r="AU59" i="36"/>
  <c r="Y37" i="33"/>
  <c r="Z37" i="33" s="1"/>
  <c r="J37" i="33" s="1"/>
  <c r="AE37" i="33"/>
  <c r="AB37" i="33" s="1"/>
  <c r="K37" i="33" s="1"/>
  <c r="AF37" i="33"/>
  <c r="AG37" i="33"/>
  <c r="AH37" i="33"/>
  <c r="AI37" i="33"/>
  <c r="AJ37" i="33"/>
  <c r="AJ65" i="36"/>
  <c r="AK65" i="36"/>
  <c r="AL65" i="36"/>
  <c r="AM65" i="36"/>
  <c r="Z66" i="36"/>
  <c r="AA65" i="36"/>
  <c r="AC37" i="37"/>
  <c r="AC63" i="34"/>
  <c r="AE63" i="34" s="1"/>
  <c r="AH63" i="34" s="1"/>
  <c r="AQ63" i="34"/>
  <c r="AS63" i="34" s="1"/>
  <c r="AV63" i="34" s="1"/>
  <c r="AP63" i="34"/>
  <c r="AR63" i="34" s="1"/>
  <c r="AB63" i="34"/>
  <c r="AD63" i="34" s="1"/>
  <c r="S35" i="37"/>
  <c r="U35" i="37" s="1"/>
  <c r="AT58" i="33"/>
  <c r="AW58" i="33" s="1"/>
  <c r="AU58" i="33"/>
  <c r="AT52" i="33"/>
  <c r="AW52" i="33" s="1"/>
  <c r="AU52" i="33"/>
  <c r="AT46" i="33"/>
  <c r="AW46" i="33" s="1"/>
  <c r="AU46" i="33"/>
  <c r="AA65" i="38"/>
  <c r="AM65" i="38"/>
  <c r="AJ65" i="38"/>
  <c r="AK65" i="38"/>
  <c r="AL65" i="38"/>
  <c r="Z66" i="38"/>
  <c r="AK66" i="39"/>
  <c r="AL66" i="39"/>
  <c r="AA66" i="39"/>
  <c r="Z67" i="39"/>
  <c r="AM66" i="39"/>
  <c r="AJ66" i="39"/>
  <c r="R35" i="27"/>
  <c r="S35" i="27" s="1"/>
  <c r="H38" i="32"/>
  <c r="I38" i="32" s="1"/>
  <c r="AK38" i="32"/>
  <c r="AT56" i="35"/>
  <c r="AW56" i="35" s="1"/>
  <c r="AU56" i="35"/>
  <c r="AG63" i="33"/>
  <c r="AF63" i="33"/>
  <c r="AI63" i="33" s="1"/>
  <c r="AF66" i="31"/>
  <c r="AI66" i="31" s="1"/>
  <c r="AG66" i="31"/>
  <c r="AU48" i="35"/>
  <c r="AT48" i="35"/>
  <c r="AW48" i="35" s="1"/>
  <c r="R36" i="39"/>
  <c r="AT53" i="36"/>
  <c r="AW53" i="36" s="1"/>
  <c r="AU53" i="36"/>
  <c r="AT47" i="36"/>
  <c r="AW47" i="36" s="1"/>
  <c r="AU47" i="36"/>
  <c r="L35" i="33"/>
  <c r="AA35" i="33"/>
  <c r="N35" i="33"/>
  <c r="R35" i="36"/>
  <c r="AC65" i="39"/>
  <c r="AE65" i="39" s="1"/>
  <c r="AH65" i="39" s="1"/>
  <c r="AQ65" i="39"/>
  <c r="AS65" i="39" s="1"/>
  <c r="AV65" i="39" s="1"/>
  <c r="AP65" i="39"/>
  <c r="AR65" i="39" s="1"/>
  <c r="AB65" i="39"/>
  <c r="AD65" i="39" s="1"/>
  <c r="V33" i="27"/>
  <c r="W33" i="27"/>
  <c r="AT50" i="35"/>
  <c r="AW50" i="35" s="1"/>
  <c r="AU50" i="35"/>
  <c r="AU43" i="32"/>
  <c r="AT43" i="32"/>
  <c r="AW43" i="32" s="1"/>
  <c r="Z69" i="31"/>
  <c r="AK68" i="31"/>
  <c r="AL68" i="31"/>
  <c r="AM68" i="31"/>
  <c r="AJ68" i="31"/>
  <c r="AA68" i="31"/>
  <c r="AG64" i="27"/>
  <c r="AF64" i="27"/>
  <c r="AI64" i="27" s="1"/>
  <c r="AU46" i="36"/>
  <c r="AT46" i="36"/>
  <c r="AW46" i="36" s="1"/>
  <c r="T34" i="27"/>
  <c r="X34" i="27"/>
  <c r="AA66" i="35"/>
  <c r="AM66" i="35"/>
  <c r="AK66" i="35"/>
  <c r="AL66" i="35"/>
  <c r="Z67" i="35"/>
  <c r="AJ66" i="35"/>
  <c r="AG63" i="32"/>
  <c r="AF63" i="32"/>
  <c r="AI63" i="32" s="1"/>
  <c r="AC36" i="36"/>
  <c r="AB37" i="37"/>
  <c r="K37" i="37" s="1"/>
  <c r="AJ64" i="34"/>
  <c r="AL64" i="34"/>
  <c r="AA64" i="34"/>
  <c r="AK64" i="34"/>
  <c r="AM64" i="34"/>
  <c r="Z65" i="34"/>
  <c r="AT51" i="33"/>
  <c r="AW51" i="33" s="1"/>
  <c r="AU51" i="33"/>
  <c r="AU50" i="32"/>
  <c r="AT50" i="32"/>
  <c r="AW50" i="32" s="1"/>
  <c r="AT62" i="35"/>
  <c r="AW62" i="35" s="1"/>
  <c r="AU62" i="35"/>
  <c r="AT55" i="32"/>
  <c r="AW55" i="32" s="1"/>
  <c r="AU55" i="32"/>
  <c r="U34" i="34"/>
  <c r="L35" i="35"/>
  <c r="AA35" i="35"/>
  <c r="N35" i="35"/>
  <c r="AT42" i="32"/>
  <c r="AW42" i="32" s="1"/>
  <c r="AU42" i="32"/>
  <c r="AL65" i="33"/>
  <c r="Z66" i="33"/>
  <c r="AA65" i="33"/>
  <c r="AM65" i="33"/>
  <c r="AJ65" i="33"/>
  <c r="AK65" i="33"/>
  <c r="AE37" i="36"/>
  <c r="AB37" i="36" s="1"/>
  <c r="K37" i="36" s="1"/>
  <c r="AJ37" i="36"/>
  <c r="AI37" i="36"/>
  <c r="AD37" i="36" s="1"/>
  <c r="Y37" i="36"/>
  <c r="Z37" i="36" s="1"/>
  <c r="J37" i="36" s="1"/>
  <c r="AG37" i="36"/>
  <c r="AH37" i="36"/>
  <c r="AF37" i="36"/>
  <c r="AT62" i="33"/>
  <c r="AW62" i="33" s="1"/>
  <c r="AU62" i="33"/>
  <c r="T34" i="34"/>
  <c r="X34" i="35"/>
  <c r="AE38" i="37"/>
  <c r="AB38" i="37" s="1"/>
  <c r="K38" i="37" s="1"/>
  <c r="AH38" i="37"/>
  <c r="AG38" i="37"/>
  <c r="AF38" i="37"/>
  <c r="AJ38" i="37"/>
  <c r="Y38" i="37"/>
  <c r="Z38" i="37" s="1"/>
  <c r="J38" i="37" s="1"/>
  <c r="AI38" i="37"/>
  <c r="AT63" i="32"/>
  <c r="AW63" i="32" s="1"/>
  <c r="AU63" i="32"/>
  <c r="K36" i="36"/>
  <c r="AC64" i="36"/>
  <c r="AE64" i="36" s="1"/>
  <c r="AH64" i="36" s="1"/>
  <c r="AQ64" i="36"/>
  <c r="AS64" i="36" s="1"/>
  <c r="AV64" i="36" s="1"/>
  <c r="AB64" i="36"/>
  <c r="AD64" i="36" s="1"/>
  <c r="AP64" i="36"/>
  <c r="AR64" i="36" s="1"/>
  <c r="Y38" i="38"/>
  <c r="Z38" i="38" s="1"/>
  <c r="J38" i="38" s="1"/>
  <c r="AF38" i="38"/>
  <c r="AG38" i="38"/>
  <c r="AC38" i="38" s="1"/>
  <c r="AJ38" i="38"/>
  <c r="AH38" i="38"/>
  <c r="AE38" i="38"/>
  <c r="AB38" i="38" s="1"/>
  <c r="K38" i="38" s="1"/>
  <c r="AI38" i="38"/>
  <c r="AD38" i="38" s="1"/>
  <c r="AU57" i="33"/>
  <c r="AT57" i="33"/>
  <c r="AW57" i="33" s="1"/>
  <c r="AU45" i="33"/>
  <c r="AT45" i="33"/>
  <c r="AW45" i="33" s="1"/>
  <c r="S35" i="34"/>
  <c r="AA36" i="38"/>
  <c r="L36" i="38"/>
  <c r="N36" i="38"/>
  <c r="U33" i="35"/>
  <c r="V33" i="38"/>
  <c r="W33" i="38"/>
  <c r="AU49" i="35"/>
  <c r="AT49" i="35"/>
  <c r="AW49" i="35" s="1"/>
  <c r="AT42" i="36"/>
  <c r="AW42" i="36" s="1"/>
  <c r="AU42" i="36"/>
  <c r="AU54" i="35"/>
  <c r="AT54" i="35"/>
  <c r="AW54" i="35" s="1"/>
  <c r="AT63" i="33"/>
  <c r="AW63" i="33" s="1"/>
  <c r="AU63" i="33"/>
  <c r="AU52" i="36"/>
  <c r="AT52" i="36"/>
  <c r="AW52" i="36" s="1"/>
  <c r="AT59" i="32"/>
  <c r="AW59" i="32" s="1"/>
  <c r="AU59" i="32"/>
  <c r="AU44" i="32"/>
  <c r="AT44" i="32"/>
  <c r="AW44" i="32" s="1"/>
  <c r="AT47" i="35"/>
  <c r="AW47" i="35" s="1"/>
  <c r="AU47" i="35"/>
  <c r="AT42" i="35"/>
  <c r="AW42" i="35" s="1"/>
  <c r="AU42" i="35"/>
  <c r="T33" i="35"/>
  <c r="AL66" i="27"/>
  <c r="AJ66" i="27"/>
  <c r="AK66" i="27"/>
  <c r="AM66" i="27"/>
  <c r="Z67" i="27"/>
  <c r="AA66" i="27"/>
  <c r="AB36" i="32"/>
  <c r="K36" i="32" s="1"/>
  <c r="M36" i="32" s="1"/>
  <c r="AQ65" i="35"/>
  <c r="AS65" i="35" s="1"/>
  <c r="AV65" i="35" s="1"/>
  <c r="AB65" i="35"/>
  <c r="AD65" i="35" s="1"/>
  <c r="AP65" i="35"/>
  <c r="AR65" i="35" s="1"/>
  <c r="AC65" i="35"/>
  <c r="AE65" i="35" s="1"/>
  <c r="AH65" i="35" s="1"/>
  <c r="AT50" i="33"/>
  <c r="AW50" i="33" s="1"/>
  <c r="AU50" i="33"/>
  <c r="AT44" i="33"/>
  <c r="AW44" i="33" s="1"/>
  <c r="AU44" i="33"/>
  <c r="AB64" i="38"/>
  <c r="AD64" i="38" s="1"/>
  <c r="AC64" i="38"/>
  <c r="AE64" i="38" s="1"/>
  <c r="AH64" i="38" s="1"/>
  <c r="AP64" i="38"/>
  <c r="AR64" i="38" s="1"/>
  <c r="AQ64" i="38"/>
  <c r="AS64" i="38" s="1"/>
  <c r="AV64" i="38" s="1"/>
  <c r="U34" i="37"/>
  <c r="K38" i="34"/>
  <c r="M38" i="34" s="1"/>
  <c r="AT55" i="35"/>
  <c r="AW55" i="35" s="1"/>
  <c r="AU55" i="35"/>
  <c r="L36" i="37"/>
  <c r="AA36" i="37"/>
  <c r="N36" i="37"/>
  <c r="AT54" i="32"/>
  <c r="AW54" i="32" s="1"/>
  <c r="AU54" i="32"/>
  <c r="AT60" i="32"/>
  <c r="AW60" i="32" s="1"/>
  <c r="AU60" i="32"/>
  <c r="AT60" i="35"/>
  <c r="AW60" i="35" s="1"/>
  <c r="AU60" i="35"/>
  <c r="S33" i="32"/>
  <c r="X33" i="32" s="1"/>
  <c r="AA36" i="32"/>
  <c r="L36" i="32"/>
  <c r="N36" i="32"/>
  <c r="AT58" i="36"/>
  <c r="AW58" i="36" s="1"/>
  <c r="AU58" i="36"/>
  <c r="AT47" i="32"/>
  <c r="AW47" i="32" s="1"/>
  <c r="AU47" i="32"/>
  <c r="AT53" i="35"/>
  <c r="AW53" i="35" s="1"/>
  <c r="AU53" i="35"/>
  <c r="R34" i="36"/>
  <c r="S34" i="36" s="1"/>
  <c r="T34" i="36" s="1"/>
  <c r="AT46" i="32"/>
  <c r="AW46" i="32" s="1"/>
  <c r="AU46" i="32"/>
  <c r="AT52" i="35"/>
  <c r="AW52" i="35" s="1"/>
  <c r="AU52" i="35"/>
  <c r="M35" i="32"/>
  <c r="S36" i="27"/>
  <c r="R36" i="27"/>
  <c r="X36" i="27" s="1"/>
  <c r="AA36" i="35"/>
  <c r="L36" i="35"/>
  <c r="N36" i="35"/>
  <c r="AU57" i="36"/>
  <c r="AT57" i="36"/>
  <c r="AW57" i="36" s="1"/>
  <c r="AT51" i="36"/>
  <c r="AW51" i="36" s="1"/>
  <c r="AU51" i="36"/>
  <c r="AT44" i="36"/>
  <c r="AW44" i="36" s="1"/>
  <c r="AU44" i="36"/>
  <c r="AK65" i="32"/>
  <c r="AL65" i="32"/>
  <c r="AM65" i="32"/>
  <c r="AJ65" i="32"/>
  <c r="AA65" i="32"/>
  <c r="Z66" i="32"/>
  <c r="AD36" i="36"/>
  <c r="AJ38" i="31"/>
  <c r="Y38" i="31"/>
  <c r="Z38" i="31" s="1"/>
  <c r="J38" i="31" s="1"/>
  <c r="AF38" i="31"/>
  <c r="AI38" i="31"/>
  <c r="AH38" i="31"/>
  <c r="AG38" i="31"/>
  <c r="AC38" i="31" s="1"/>
  <c r="AE38" i="31"/>
  <c r="L37" i="34"/>
  <c r="AA37" i="34"/>
  <c r="N37" i="34"/>
  <c r="AC37" i="38"/>
  <c r="M37" i="38" s="1"/>
  <c r="AT56" i="33"/>
  <c r="AW56" i="33" s="1"/>
  <c r="AU56" i="33"/>
  <c r="AB37" i="27"/>
  <c r="K37" i="27" s="1"/>
  <c r="AF63" i="36"/>
  <c r="AI63" i="36" s="1"/>
  <c r="AG63" i="36"/>
  <c r="AT61" i="32"/>
  <c r="AW61" i="32" s="1"/>
  <c r="AU61" i="32"/>
  <c r="AQ63" i="37"/>
  <c r="AS63" i="37" s="1"/>
  <c r="AV63" i="37" s="1"/>
  <c r="AP63" i="37"/>
  <c r="AR63" i="37" s="1"/>
  <c r="AC63" i="37"/>
  <c r="AE63" i="37" s="1"/>
  <c r="AH63" i="37" s="1"/>
  <c r="AB63" i="37"/>
  <c r="AD63" i="37" s="1"/>
  <c r="AU60" i="36"/>
  <c r="AT60" i="36"/>
  <c r="AW60" i="36" s="1"/>
  <c r="AT43" i="35"/>
  <c r="AW43" i="35" s="1"/>
  <c r="AU43" i="35"/>
  <c r="M36" i="39"/>
  <c r="AU53" i="32"/>
  <c r="AT53" i="32"/>
  <c r="AW53" i="32" s="1"/>
  <c r="AT59" i="35"/>
  <c r="AW59" i="35" s="1"/>
  <c r="AU59" i="35"/>
  <c r="AU44" i="35"/>
  <c r="AT44" i="35"/>
  <c r="AW44" i="35" s="1"/>
  <c r="M36" i="35"/>
  <c r="AC37" i="31"/>
  <c r="M37" i="31" s="1"/>
  <c r="X34" i="32"/>
  <c r="AT58" i="32"/>
  <c r="AW58" i="32" s="1"/>
  <c r="AU58" i="32"/>
  <c r="AT52" i="32"/>
  <c r="AW52" i="32" s="1"/>
  <c r="AU52" i="32"/>
  <c r="AT58" i="35"/>
  <c r="AW58" i="35" s="1"/>
  <c r="AU58" i="35"/>
  <c r="AT46" i="35"/>
  <c r="AW46" i="35" s="1"/>
  <c r="AU46" i="35"/>
  <c r="AF38" i="27"/>
  <c r="AH38" i="27"/>
  <c r="AJ38" i="27"/>
  <c r="AE38" i="27"/>
  <c r="AG38" i="27"/>
  <c r="AI38" i="27"/>
  <c r="Y38" i="27"/>
  <c r="Z38" i="27" s="1"/>
  <c r="J38" i="27" s="1"/>
  <c r="L37" i="39"/>
  <c r="AA37" i="39"/>
  <c r="N37" i="39"/>
  <c r="AT56" i="36"/>
  <c r="AW56" i="36" s="1"/>
  <c r="AU56" i="36"/>
  <c r="AT50" i="36"/>
  <c r="AW50" i="36" s="1"/>
  <c r="AU50" i="36"/>
  <c r="AU45" i="36"/>
  <c r="AT45" i="36"/>
  <c r="AW45" i="36" s="1"/>
  <c r="AF62" i="37"/>
  <c r="AI62" i="37" s="1"/>
  <c r="AG62" i="37"/>
  <c r="AD36" i="33"/>
  <c r="AT64" i="39"/>
  <c r="AW64" i="39" s="1"/>
  <c r="AU64" i="39"/>
  <c r="U33" i="32"/>
  <c r="AT49" i="33"/>
  <c r="AW49" i="33" s="1"/>
  <c r="AU49" i="33"/>
  <c r="AT42" i="33"/>
  <c r="AW42" i="33" s="1"/>
  <c r="AU42" i="33"/>
  <c r="AD38" i="34"/>
  <c r="AT56" i="32"/>
  <c r="AW56" i="32" s="1"/>
  <c r="AU56" i="32"/>
  <c r="Y38" i="39"/>
  <c r="Z38" i="39" s="1"/>
  <c r="J38" i="39" s="1"/>
  <c r="AF38" i="39"/>
  <c r="AH38" i="39"/>
  <c r="AE38" i="39"/>
  <c r="AB38" i="39" s="1"/>
  <c r="K38" i="39" s="1"/>
  <c r="AJ38" i="39"/>
  <c r="AI38" i="39"/>
  <c r="AD38" i="39" s="1"/>
  <c r="AG38" i="39"/>
  <c r="AC38" i="39" s="1"/>
  <c r="M38" i="39" s="1"/>
  <c r="AT49" i="32"/>
  <c r="AW49" i="32" s="1"/>
  <c r="AU49" i="32"/>
  <c r="AT48" i="36"/>
  <c r="AW48" i="36" s="1"/>
  <c r="AU48" i="36"/>
  <c r="M36" i="38"/>
  <c r="AK38" i="36"/>
  <c r="H38" i="36"/>
  <c r="I38" i="36" s="1"/>
  <c r="AP64" i="33"/>
  <c r="AR64" i="33" s="1"/>
  <c r="AQ64" i="33"/>
  <c r="AS64" i="33" s="1"/>
  <c r="AV64" i="33" s="1"/>
  <c r="AB64" i="33"/>
  <c r="AD64" i="33" s="1"/>
  <c r="AC64" i="33"/>
  <c r="AE64" i="33" s="1"/>
  <c r="AH64" i="33" s="1"/>
  <c r="AC67" i="31"/>
  <c r="AE67" i="31" s="1"/>
  <c r="AH67" i="31" s="1"/>
  <c r="AP67" i="31"/>
  <c r="AR67" i="31" s="1"/>
  <c r="AB67" i="31"/>
  <c r="AD67" i="31" s="1"/>
  <c r="AQ67" i="31"/>
  <c r="AS67" i="31" s="1"/>
  <c r="AV67" i="31" s="1"/>
  <c r="AT64" i="27"/>
  <c r="AW64" i="27" s="1"/>
  <c r="AU64" i="27"/>
  <c r="R35" i="31"/>
  <c r="AB37" i="31"/>
  <c r="K37" i="31" s="1"/>
  <c r="AU57" i="32"/>
  <c r="AT57" i="32"/>
  <c r="AW57" i="32" s="1"/>
  <c r="AT51" i="32"/>
  <c r="AW51" i="32" s="1"/>
  <c r="AU51" i="32"/>
  <c r="AT41" i="32"/>
  <c r="AW41" i="32" s="1"/>
  <c r="AU41" i="32"/>
  <c r="R36" i="34"/>
  <c r="S36" i="34" s="1"/>
  <c r="X36" i="34" s="1"/>
  <c r="AI37" i="32"/>
  <c r="AJ37" i="32"/>
  <c r="AE37" i="32"/>
  <c r="AF37" i="32"/>
  <c r="AG37" i="32"/>
  <c r="AH37" i="32"/>
  <c r="Y37" i="32"/>
  <c r="Z37" i="32" s="1"/>
  <c r="J37" i="32" s="1"/>
  <c r="AF63" i="38"/>
  <c r="AI63" i="38" s="1"/>
  <c r="AG63" i="38"/>
  <c r="AC37" i="39"/>
  <c r="M37" i="39" s="1"/>
  <c r="AK38" i="35"/>
  <c r="H38" i="35"/>
  <c r="I38" i="35" s="1"/>
  <c r="H38" i="33"/>
  <c r="I38" i="33" s="1"/>
  <c r="AK38" i="33"/>
  <c r="R35" i="39"/>
  <c r="S35" i="39" s="1"/>
  <c r="AT62" i="37"/>
  <c r="AW62" i="37" s="1"/>
  <c r="AU62" i="37"/>
  <c r="AB36" i="33"/>
  <c r="K36" i="33" s="1"/>
  <c r="AG64" i="39"/>
  <c r="AF64" i="39"/>
  <c r="AI64" i="39" s="1"/>
  <c r="T33" i="32"/>
  <c r="AD37" i="38"/>
  <c r="AT61" i="33"/>
  <c r="AW61" i="33" s="1"/>
  <c r="AU61" i="33"/>
  <c r="AT55" i="33"/>
  <c r="AW55" i="33" s="1"/>
  <c r="AU55" i="33"/>
  <c r="AT63" i="35"/>
  <c r="AW63" i="35" s="1"/>
  <c r="AH37" i="35"/>
  <c r="AI37" i="35"/>
  <c r="AG37" i="35"/>
  <c r="AC37" i="35" s="1"/>
  <c r="AJ37" i="35"/>
  <c r="AF37" i="35"/>
  <c r="Y37" i="35"/>
  <c r="Z37" i="35" s="1"/>
  <c r="J37" i="35" s="1"/>
  <c r="AE37" i="35"/>
  <c r="AB37" i="35" s="1"/>
  <c r="K37" i="35" s="1"/>
  <c r="AU60" i="33"/>
  <c r="AT60" i="33"/>
  <c r="AW60" i="33" s="1"/>
  <c r="AT45" i="35"/>
  <c r="AW45" i="35" s="1"/>
  <c r="AU45" i="35"/>
  <c r="AT41" i="35"/>
  <c r="AW41" i="35" s="1"/>
  <c r="AU41" i="35"/>
  <c r="AT54" i="36"/>
  <c r="AW54" i="36" s="1"/>
  <c r="AU54" i="36"/>
  <c r="AU48" i="32"/>
  <c r="AT48" i="32"/>
  <c r="AW48" i="32" s="1"/>
  <c r="L37" i="31"/>
  <c r="AA37" i="31"/>
  <c r="N37" i="31"/>
  <c r="AU57" i="35"/>
  <c r="AT57" i="35"/>
  <c r="AW57" i="35" s="1"/>
  <c r="AU51" i="35"/>
  <c r="AT51" i="35"/>
  <c r="AW51" i="35" s="1"/>
  <c r="AU63" i="38"/>
  <c r="AT63" i="38"/>
  <c r="AW63" i="38" s="1"/>
  <c r="S36" i="31"/>
  <c r="X36" i="31" s="1"/>
  <c r="R36" i="31"/>
  <c r="AT61" i="36"/>
  <c r="AW61" i="36" s="1"/>
  <c r="AU61" i="36"/>
  <c r="AU55" i="36"/>
  <c r="AT55" i="36"/>
  <c r="AW55" i="36" s="1"/>
  <c r="AU49" i="36"/>
  <c r="AT49" i="36"/>
  <c r="AW49" i="36" s="1"/>
  <c r="AT43" i="36"/>
  <c r="AW43" i="36" s="1"/>
  <c r="AU43" i="36"/>
  <c r="AC64" i="32"/>
  <c r="AE64" i="32" s="1"/>
  <c r="AH64" i="32" s="1"/>
  <c r="AB64" i="32"/>
  <c r="AD64" i="32" s="1"/>
  <c r="AP64" i="32"/>
  <c r="AR64" i="32" s="1"/>
  <c r="AQ64" i="32"/>
  <c r="AS64" i="32" s="1"/>
  <c r="AV64" i="32" s="1"/>
  <c r="AC36" i="33"/>
  <c r="AU64" i="35"/>
  <c r="AT64" i="35"/>
  <c r="AW64" i="35" s="1"/>
  <c r="M35" i="33"/>
  <c r="AF62" i="34"/>
  <c r="AI62" i="34" s="1"/>
  <c r="AG62" i="34"/>
  <c r="AD37" i="37"/>
  <c r="AT54" i="33"/>
  <c r="AW54" i="33" s="1"/>
  <c r="AU54" i="33"/>
  <c r="AT43" i="33"/>
  <c r="AW43" i="33" s="1"/>
  <c r="AU43" i="33"/>
  <c r="AC37" i="27"/>
  <c r="U36" i="27"/>
  <c r="AT63" i="36"/>
  <c r="AW63" i="36" s="1"/>
  <c r="AU63" i="36"/>
  <c r="V33" i="33"/>
  <c r="W33" i="33"/>
  <c r="V34" i="36" l="1"/>
  <c r="W34" i="36"/>
  <c r="X35" i="39"/>
  <c r="U35" i="39"/>
  <c r="T35" i="39"/>
  <c r="U35" i="27"/>
  <c r="X35" i="27"/>
  <c r="T35" i="27"/>
  <c r="X35" i="32"/>
  <c r="U35" i="32"/>
  <c r="U37" i="27"/>
  <c r="X35" i="34"/>
  <c r="U35" i="34"/>
  <c r="S35" i="38"/>
  <c r="T35" i="38" s="1"/>
  <c r="AB64" i="34"/>
  <c r="AD64" i="34" s="1"/>
  <c r="AC64" i="34"/>
  <c r="AE64" i="34" s="1"/>
  <c r="AH64" i="34" s="1"/>
  <c r="AP64" i="34"/>
  <c r="AR64" i="34" s="1"/>
  <c r="AQ64" i="34"/>
  <c r="AS64" i="34" s="1"/>
  <c r="AV64" i="34" s="1"/>
  <c r="L36" i="36"/>
  <c r="AA36" i="36"/>
  <c r="N36" i="36"/>
  <c r="V34" i="34"/>
  <c r="W34" i="34"/>
  <c r="AC66" i="35"/>
  <c r="AE66" i="35" s="1"/>
  <c r="AH66" i="35" s="1"/>
  <c r="AP66" i="35"/>
  <c r="AR66" i="35" s="1"/>
  <c r="AQ66" i="35"/>
  <c r="AS66" i="35" s="1"/>
  <c r="AV66" i="35" s="1"/>
  <c r="AB66" i="35"/>
  <c r="AD66" i="35" s="1"/>
  <c r="AG65" i="39"/>
  <c r="AF65" i="39"/>
  <c r="AI65" i="39" s="1"/>
  <c r="AK66" i="38"/>
  <c r="AL66" i="38"/>
  <c r="Z67" i="38"/>
  <c r="AA66" i="38"/>
  <c r="AJ66" i="38"/>
  <c r="AM66" i="38"/>
  <c r="X35" i="38"/>
  <c r="V34" i="35"/>
  <c r="W34" i="35"/>
  <c r="X35" i="37"/>
  <c r="R36" i="37"/>
  <c r="Z67" i="32"/>
  <c r="AK66" i="32"/>
  <c r="AL66" i="32"/>
  <c r="AM66" i="32"/>
  <c r="AA66" i="32"/>
  <c r="AJ66" i="32"/>
  <c r="AT65" i="39"/>
  <c r="AW65" i="39" s="1"/>
  <c r="AU65" i="39"/>
  <c r="AF63" i="34"/>
  <c r="AI63" i="34" s="1"/>
  <c r="AG63" i="34"/>
  <c r="AU65" i="27"/>
  <c r="AT65" i="27"/>
  <c r="AW65" i="27" s="1"/>
  <c r="T34" i="38"/>
  <c r="AA67" i="27"/>
  <c r="AM67" i="27"/>
  <c r="Z68" i="27"/>
  <c r="AJ67" i="27"/>
  <c r="AK67" i="27"/>
  <c r="AL67" i="27"/>
  <c r="AU63" i="34"/>
  <c r="AT63" i="34"/>
  <c r="AW63" i="34" s="1"/>
  <c r="S34" i="33"/>
  <c r="U34" i="33" s="1"/>
  <c r="X36" i="39"/>
  <c r="AM65" i="37"/>
  <c r="AA65" i="37"/>
  <c r="AK65" i="37"/>
  <c r="AL65" i="37"/>
  <c r="Z66" i="37"/>
  <c r="AJ65" i="37"/>
  <c r="AF65" i="27"/>
  <c r="AI65" i="27" s="1"/>
  <c r="AG65" i="27"/>
  <c r="V33" i="32"/>
  <c r="W33" i="32"/>
  <c r="Y38" i="36"/>
  <c r="Z38" i="36" s="1"/>
  <c r="J38" i="36" s="1"/>
  <c r="AJ38" i="36"/>
  <c r="AF38" i="36"/>
  <c r="AH38" i="36"/>
  <c r="AI38" i="36"/>
  <c r="AD38" i="36" s="1"/>
  <c r="AG38" i="36"/>
  <c r="AC38" i="36" s="1"/>
  <c r="M38" i="36" s="1"/>
  <c r="AE38" i="36"/>
  <c r="AB38" i="36" s="1"/>
  <c r="K38" i="36" s="1"/>
  <c r="M36" i="36"/>
  <c r="S36" i="39"/>
  <c r="T36" i="39" s="1"/>
  <c r="U34" i="38"/>
  <c r="X34" i="33"/>
  <c r="U36" i="34"/>
  <c r="AB66" i="27"/>
  <c r="AD66" i="27" s="1"/>
  <c r="AQ66" i="27"/>
  <c r="AS66" i="27" s="1"/>
  <c r="AV66" i="27" s="1"/>
  <c r="AP66" i="27"/>
  <c r="AR66" i="27" s="1"/>
  <c r="AC66" i="27"/>
  <c r="AE66" i="27" s="1"/>
  <c r="AH66" i="27" s="1"/>
  <c r="AF64" i="33"/>
  <c r="AI64" i="33" s="1"/>
  <c r="AG64" i="33"/>
  <c r="R36" i="32"/>
  <c r="S37" i="34"/>
  <c r="T37" i="34" s="1"/>
  <c r="R37" i="34"/>
  <c r="S35" i="31"/>
  <c r="T35" i="31" s="1"/>
  <c r="L36" i="33"/>
  <c r="AA36" i="33"/>
  <c r="N36" i="33"/>
  <c r="T36" i="34"/>
  <c r="AT63" i="37"/>
  <c r="AW63" i="37" s="1"/>
  <c r="AU63" i="37"/>
  <c r="R36" i="35"/>
  <c r="V33" i="35"/>
  <c r="W33" i="35"/>
  <c r="AD38" i="37"/>
  <c r="T35" i="37"/>
  <c r="T35" i="32"/>
  <c r="AT67" i="31"/>
  <c r="AW67" i="31" s="1"/>
  <c r="AU67" i="31"/>
  <c r="R37" i="31"/>
  <c r="AF64" i="36"/>
  <c r="AI64" i="36" s="1"/>
  <c r="AG64" i="36"/>
  <c r="T35" i="34"/>
  <c r="U35" i="38"/>
  <c r="AC37" i="32"/>
  <c r="AG38" i="32"/>
  <c r="Y38" i="32"/>
  <c r="Z38" i="32" s="1"/>
  <c r="J38" i="32" s="1"/>
  <c r="AF38" i="32"/>
  <c r="AJ38" i="32"/>
  <c r="AE38" i="32"/>
  <c r="AB38" i="32" s="1"/>
  <c r="K38" i="32" s="1"/>
  <c r="AI38" i="32"/>
  <c r="AH38" i="32"/>
  <c r="AT64" i="33"/>
  <c r="AW64" i="33" s="1"/>
  <c r="AU64" i="33"/>
  <c r="AC65" i="32"/>
  <c r="AE65" i="32" s="1"/>
  <c r="AH65" i="32" s="1"/>
  <c r="AQ65" i="32"/>
  <c r="AS65" i="32" s="1"/>
  <c r="AV65" i="32" s="1"/>
  <c r="AP65" i="32"/>
  <c r="AR65" i="32" s="1"/>
  <c r="AB65" i="32"/>
  <c r="AD65" i="32" s="1"/>
  <c r="L38" i="38"/>
  <c r="AA38" i="38"/>
  <c r="N38" i="38"/>
  <c r="AL66" i="33"/>
  <c r="AM66" i="33"/>
  <c r="Z67" i="33"/>
  <c r="AA66" i="33"/>
  <c r="AJ66" i="33"/>
  <c r="AK66" i="33"/>
  <c r="AD37" i="35"/>
  <c r="R37" i="39"/>
  <c r="S37" i="39" s="1"/>
  <c r="X37" i="39" s="1"/>
  <c r="X34" i="36"/>
  <c r="AD37" i="32"/>
  <c r="AB38" i="31"/>
  <c r="K38" i="31" s="1"/>
  <c r="T36" i="27"/>
  <c r="AC37" i="36"/>
  <c r="M37" i="36" s="1"/>
  <c r="U35" i="31"/>
  <c r="S35" i="36"/>
  <c r="T35" i="36" s="1"/>
  <c r="AB65" i="38"/>
  <c r="AD65" i="38" s="1"/>
  <c r="AP65" i="38"/>
  <c r="AR65" i="38" s="1"/>
  <c r="AQ65" i="38"/>
  <c r="AS65" i="38" s="1"/>
  <c r="AV65" i="38" s="1"/>
  <c r="AC65" i="38"/>
  <c r="AE65" i="38" s="1"/>
  <c r="AH65" i="38" s="1"/>
  <c r="M37" i="37"/>
  <c r="AD37" i="33"/>
  <c r="X35" i="36"/>
  <c r="L38" i="39"/>
  <c r="AA38" i="39"/>
  <c r="N38" i="39"/>
  <c r="AF63" i="37"/>
  <c r="AI63" i="37" s="1"/>
  <c r="AG63" i="37"/>
  <c r="V34" i="27"/>
  <c r="W34" i="27"/>
  <c r="AF38" i="35"/>
  <c r="AG38" i="35"/>
  <c r="AC38" i="35" s="1"/>
  <c r="AI38" i="35"/>
  <c r="AJ38" i="35"/>
  <c r="Y38" i="35"/>
  <c r="Z38" i="35" s="1"/>
  <c r="J38" i="35" s="1"/>
  <c r="AH38" i="35"/>
  <c r="AE38" i="35"/>
  <c r="AT64" i="38"/>
  <c r="AW64" i="38" s="1"/>
  <c r="AU64" i="38"/>
  <c r="AU65" i="35"/>
  <c r="AT65" i="35"/>
  <c r="AW65" i="35" s="1"/>
  <c r="M38" i="38"/>
  <c r="AP65" i="36"/>
  <c r="AR65" i="36" s="1"/>
  <c r="AB65" i="36"/>
  <c r="AD65" i="36" s="1"/>
  <c r="AC65" i="36"/>
  <c r="AE65" i="36" s="1"/>
  <c r="AH65" i="36" s="1"/>
  <c r="AQ65" i="36"/>
  <c r="AS65" i="36" s="1"/>
  <c r="AV65" i="36" s="1"/>
  <c r="AB64" i="37"/>
  <c r="AD64" i="37" s="1"/>
  <c r="AC64" i="37"/>
  <c r="AE64" i="37" s="1"/>
  <c r="AH64" i="37" s="1"/>
  <c r="AQ64" i="37"/>
  <c r="AS64" i="37" s="1"/>
  <c r="AV64" i="37" s="1"/>
  <c r="AP64" i="37"/>
  <c r="AR64" i="37" s="1"/>
  <c r="AQ68" i="31"/>
  <c r="AS68" i="31" s="1"/>
  <c r="AV68" i="31" s="1"/>
  <c r="AP68" i="31"/>
  <c r="AR68" i="31" s="1"/>
  <c r="AC68" i="31"/>
  <c r="AE68" i="31" s="1"/>
  <c r="AH68" i="31" s="1"/>
  <c r="AB68" i="31"/>
  <c r="AD68" i="31" s="1"/>
  <c r="AC66" i="39"/>
  <c r="AE66" i="39" s="1"/>
  <c r="AH66" i="39" s="1"/>
  <c r="AP66" i="39"/>
  <c r="AR66" i="39" s="1"/>
  <c r="AQ66" i="39"/>
  <c r="AS66" i="39" s="1"/>
  <c r="AV66" i="39" s="1"/>
  <c r="AB66" i="39"/>
  <c r="AD66" i="39" s="1"/>
  <c r="AA37" i="38"/>
  <c r="L37" i="38"/>
  <c r="N37" i="38"/>
  <c r="M37" i="35"/>
  <c r="U34" i="36"/>
  <c r="AB37" i="32"/>
  <c r="K37" i="32" s="1"/>
  <c r="M36" i="33"/>
  <c r="AT64" i="32"/>
  <c r="AW64" i="32" s="1"/>
  <c r="AU64" i="32"/>
  <c r="L37" i="36"/>
  <c r="AA37" i="36"/>
  <c r="N37" i="36"/>
  <c r="R35" i="35"/>
  <c r="R35" i="33"/>
  <c r="AJ66" i="36"/>
  <c r="AK66" i="36"/>
  <c r="AL66" i="36"/>
  <c r="AM66" i="36"/>
  <c r="AA66" i="36"/>
  <c r="Z67" i="36"/>
  <c r="AC37" i="33"/>
  <c r="M37" i="33" s="1"/>
  <c r="S37" i="27"/>
  <c r="R37" i="27"/>
  <c r="AT64" i="36"/>
  <c r="AW64" i="36" s="1"/>
  <c r="AU64" i="36"/>
  <c r="L37" i="37"/>
  <c r="AA37" i="37"/>
  <c r="N37" i="37"/>
  <c r="AB65" i="33"/>
  <c r="AD65" i="33" s="1"/>
  <c r="AC65" i="33"/>
  <c r="AE65" i="33" s="1"/>
  <c r="AH65" i="33" s="1"/>
  <c r="AQ65" i="33"/>
  <c r="AS65" i="33" s="1"/>
  <c r="AV65" i="33" s="1"/>
  <c r="AP65" i="33"/>
  <c r="AR65" i="33" s="1"/>
  <c r="Y38" i="33"/>
  <c r="Z38" i="33" s="1"/>
  <c r="J38" i="33" s="1"/>
  <c r="AJ38" i="33"/>
  <c r="AF38" i="33"/>
  <c r="AG38" i="33"/>
  <c r="AE38" i="33"/>
  <c r="AB38" i="33" s="1"/>
  <c r="K38" i="33" s="1"/>
  <c r="AH38" i="33"/>
  <c r="AI38" i="33"/>
  <c r="AD38" i="33" s="1"/>
  <c r="AJ69" i="31"/>
  <c r="AK69" i="31"/>
  <c r="AM69" i="31"/>
  <c r="AL69" i="31"/>
  <c r="Z70" i="31"/>
  <c r="AA69" i="31"/>
  <c r="M37" i="27"/>
  <c r="AD38" i="27"/>
  <c r="L38" i="34"/>
  <c r="AA38" i="34"/>
  <c r="N38" i="34"/>
  <c r="AC38" i="27"/>
  <c r="M38" i="27" s="1"/>
  <c r="AF65" i="35"/>
  <c r="AI65" i="35" s="1"/>
  <c r="AG65" i="35"/>
  <c r="AF64" i="32"/>
  <c r="AI64" i="32" s="1"/>
  <c r="AG64" i="32"/>
  <c r="U36" i="31"/>
  <c r="AF67" i="31"/>
  <c r="AI67" i="31" s="1"/>
  <c r="AG67" i="31"/>
  <c r="AB38" i="27"/>
  <c r="K38" i="27" s="1"/>
  <c r="AD38" i="31"/>
  <c r="AF64" i="38"/>
  <c r="AI64" i="38" s="1"/>
  <c r="AG64" i="38"/>
  <c r="S36" i="38"/>
  <c r="T36" i="38" s="1"/>
  <c r="R36" i="38"/>
  <c r="AC38" i="37"/>
  <c r="M38" i="37" s="1"/>
  <c r="AA65" i="34"/>
  <c r="AM65" i="34"/>
  <c r="Z66" i="34"/>
  <c r="AK65" i="34"/>
  <c r="AJ65" i="34"/>
  <c r="AL65" i="34"/>
  <c r="Z68" i="35"/>
  <c r="AJ67" i="35"/>
  <c r="AA67" i="35"/>
  <c r="AK67" i="35"/>
  <c r="AL67" i="35"/>
  <c r="AM67" i="35"/>
  <c r="AJ67" i="39"/>
  <c r="AK67" i="39"/>
  <c r="AL67" i="39"/>
  <c r="AA67" i="39"/>
  <c r="AM67" i="39"/>
  <c r="Z68" i="39"/>
  <c r="V34" i="32"/>
  <c r="W34" i="32"/>
  <c r="T36" i="31"/>
  <c r="AD38" i="32" l="1"/>
  <c r="V36" i="39"/>
  <c r="W36" i="39"/>
  <c r="T36" i="37"/>
  <c r="V36" i="38"/>
  <c r="W36" i="38"/>
  <c r="V37" i="34"/>
  <c r="W37" i="34"/>
  <c r="V35" i="36"/>
  <c r="W35" i="36"/>
  <c r="T37" i="31"/>
  <c r="V35" i="38"/>
  <c r="W35" i="38"/>
  <c r="X35" i="35"/>
  <c r="AC66" i="38"/>
  <c r="AE66" i="38" s="1"/>
  <c r="AH66" i="38" s="1"/>
  <c r="AQ66" i="38"/>
  <c r="AS66" i="38" s="1"/>
  <c r="AV66" i="38" s="1"/>
  <c r="AB66" i="38"/>
  <c r="AD66" i="38" s="1"/>
  <c r="AP66" i="38"/>
  <c r="AR66" i="38" s="1"/>
  <c r="AP66" i="36"/>
  <c r="AR66" i="36" s="1"/>
  <c r="AB66" i="36"/>
  <c r="AD66" i="36" s="1"/>
  <c r="AQ66" i="36"/>
  <c r="AS66" i="36" s="1"/>
  <c r="AV66" i="36" s="1"/>
  <c r="AC66" i="36"/>
  <c r="AE66" i="36" s="1"/>
  <c r="AH66" i="36" s="1"/>
  <c r="S36" i="32"/>
  <c r="U36" i="32" s="1"/>
  <c r="AT65" i="38"/>
  <c r="AW65" i="38" s="1"/>
  <c r="AU65" i="38"/>
  <c r="U36" i="39"/>
  <c r="R36" i="33"/>
  <c r="S36" i="33" s="1"/>
  <c r="X37" i="34"/>
  <c r="S36" i="37"/>
  <c r="U36" i="37" s="1"/>
  <c r="AU64" i="34"/>
  <c r="AT64" i="34"/>
  <c r="AW64" i="34" s="1"/>
  <c r="X35" i="31"/>
  <c r="AA38" i="32"/>
  <c r="L38" i="32"/>
  <c r="N38" i="32"/>
  <c r="AC38" i="32"/>
  <c r="M38" i="32" s="1"/>
  <c r="V35" i="39"/>
  <c r="W35" i="39"/>
  <c r="AK68" i="35"/>
  <c r="AL68" i="35"/>
  <c r="AM68" i="35"/>
  <c r="AJ68" i="35"/>
  <c r="AA68" i="35"/>
  <c r="Z69" i="35"/>
  <c r="AT64" i="37"/>
  <c r="AW64" i="37" s="1"/>
  <c r="AU64" i="37"/>
  <c r="AL67" i="38"/>
  <c r="AM67" i="38"/>
  <c r="AA67" i="38"/>
  <c r="Z68" i="38"/>
  <c r="AJ67" i="38"/>
  <c r="AK67" i="38"/>
  <c r="AD38" i="35"/>
  <c r="R36" i="36"/>
  <c r="AA38" i="31"/>
  <c r="L38" i="31"/>
  <c r="N38" i="31"/>
  <c r="U36" i="38"/>
  <c r="V35" i="27"/>
  <c r="W35" i="27"/>
  <c r="AK66" i="34"/>
  <c r="Z67" i="34"/>
  <c r="AA66" i="34"/>
  <c r="AM66" i="34"/>
  <c r="AJ66" i="34"/>
  <c r="AL66" i="34"/>
  <c r="AF68" i="31"/>
  <c r="AI68" i="31" s="1"/>
  <c r="AG68" i="31"/>
  <c r="AA37" i="32"/>
  <c r="L37" i="32"/>
  <c r="N37" i="32"/>
  <c r="V35" i="32"/>
  <c r="W35" i="32"/>
  <c r="U37" i="34"/>
  <c r="AA38" i="27"/>
  <c r="L38" i="27"/>
  <c r="N38" i="27"/>
  <c r="AF65" i="36"/>
  <c r="AI65" i="36" s="1"/>
  <c r="AG65" i="36"/>
  <c r="AF65" i="32"/>
  <c r="AI65" i="32" s="1"/>
  <c r="AG65" i="32"/>
  <c r="S35" i="33"/>
  <c r="T35" i="33" s="1"/>
  <c r="AT65" i="36"/>
  <c r="AW65" i="36" s="1"/>
  <c r="AU65" i="36"/>
  <c r="AT65" i="32"/>
  <c r="AW65" i="32" s="1"/>
  <c r="AU65" i="32"/>
  <c r="M37" i="32"/>
  <c r="L38" i="37"/>
  <c r="AA38" i="37"/>
  <c r="N38" i="37"/>
  <c r="AA38" i="36"/>
  <c r="L38" i="36"/>
  <c r="N38" i="36"/>
  <c r="AJ66" i="37"/>
  <c r="AK66" i="37"/>
  <c r="Z67" i="37"/>
  <c r="AA66" i="37"/>
  <c r="AL66" i="37"/>
  <c r="AM66" i="37"/>
  <c r="AF66" i="35"/>
  <c r="AI66" i="35" s="1"/>
  <c r="AG66" i="35"/>
  <c r="AG64" i="34"/>
  <c r="AF64" i="34"/>
  <c r="AI64" i="34" s="1"/>
  <c r="Z69" i="39"/>
  <c r="AA68" i="39"/>
  <c r="AJ68" i="39"/>
  <c r="AL68" i="39"/>
  <c r="AM68" i="39"/>
  <c r="AK68" i="39"/>
  <c r="AJ67" i="36"/>
  <c r="Z68" i="36"/>
  <c r="AK67" i="36"/>
  <c r="AL67" i="36"/>
  <c r="AM67" i="36"/>
  <c r="AA67" i="36"/>
  <c r="W36" i="27"/>
  <c r="V36" i="27"/>
  <c r="AC67" i="39"/>
  <c r="AE67" i="39" s="1"/>
  <c r="AH67" i="39" s="1"/>
  <c r="AQ67" i="39"/>
  <c r="AS67" i="39" s="1"/>
  <c r="AV67" i="39" s="1"/>
  <c r="AP67" i="39"/>
  <c r="AR67" i="39" s="1"/>
  <c r="AB67" i="39"/>
  <c r="AD67" i="39" s="1"/>
  <c r="AL67" i="32"/>
  <c r="AM67" i="32"/>
  <c r="AA67" i="32"/>
  <c r="AJ67" i="32"/>
  <c r="AK67" i="32"/>
  <c r="Z68" i="32"/>
  <c r="L38" i="33"/>
  <c r="AA38" i="33"/>
  <c r="N38" i="33"/>
  <c r="X36" i="38"/>
  <c r="AU68" i="31"/>
  <c r="AT68" i="31"/>
  <c r="AW68" i="31" s="1"/>
  <c r="V35" i="37"/>
  <c r="W35" i="37"/>
  <c r="AP69" i="31"/>
  <c r="AR69" i="31" s="1"/>
  <c r="AC69" i="31"/>
  <c r="AE69" i="31" s="1"/>
  <c r="AH69" i="31" s="1"/>
  <c r="AB69" i="31"/>
  <c r="AD69" i="31" s="1"/>
  <c r="AQ69" i="31"/>
  <c r="AS69" i="31" s="1"/>
  <c r="AV69" i="31" s="1"/>
  <c r="X37" i="31"/>
  <c r="L37" i="35"/>
  <c r="AA37" i="35"/>
  <c r="N37" i="35"/>
  <c r="AU66" i="27"/>
  <c r="AT66" i="27"/>
  <c r="AW66" i="27" s="1"/>
  <c r="AA67" i="33"/>
  <c r="AJ67" i="33"/>
  <c r="AK67" i="33"/>
  <c r="AM67" i="33"/>
  <c r="Z68" i="33"/>
  <c r="AL67" i="33"/>
  <c r="S37" i="31"/>
  <c r="AT66" i="39"/>
  <c r="AW66" i="39" s="1"/>
  <c r="AU66" i="39"/>
  <c r="R38" i="34"/>
  <c r="AF64" i="37"/>
  <c r="AI64" i="37" s="1"/>
  <c r="AG64" i="37"/>
  <c r="V36" i="34"/>
  <c r="W36" i="34"/>
  <c r="AA70" i="31"/>
  <c r="Z71" i="31"/>
  <c r="AJ70" i="31"/>
  <c r="AK70" i="31"/>
  <c r="AL70" i="31"/>
  <c r="AM70" i="31"/>
  <c r="T37" i="27"/>
  <c r="S35" i="35"/>
  <c r="T35" i="35" s="1"/>
  <c r="V35" i="34"/>
  <c r="W35" i="34"/>
  <c r="AJ68" i="27"/>
  <c r="AK68" i="27"/>
  <c r="AL68" i="27"/>
  <c r="AM68" i="27"/>
  <c r="AA68" i="27"/>
  <c r="Z69" i="27"/>
  <c r="AU66" i="35"/>
  <c r="AT66" i="35"/>
  <c r="AW66" i="35" s="1"/>
  <c r="U35" i="36"/>
  <c r="AF66" i="39"/>
  <c r="AI66" i="39" s="1"/>
  <c r="AG66" i="39"/>
  <c r="AF65" i="33"/>
  <c r="AI65" i="33" s="1"/>
  <c r="AG65" i="33"/>
  <c r="V34" i="38"/>
  <c r="W34" i="38"/>
  <c r="T34" i="33"/>
  <c r="R38" i="38"/>
  <c r="M38" i="31"/>
  <c r="AB65" i="34"/>
  <c r="AD65" i="34" s="1"/>
  <c r="AQ65" i="34"/>
  <c r="AS65" i="34" s="1"/>
  <c r="AV65" i="34" s="1"/>
  <c r="AC65" i="34"/>
  <c r="AE65" i="34" s="1"/>
  <c r="AH65" i="34" s="1"/>
  <c r="AP65" i="34"/>
  <c r="AR65" i="34" s="1"/>
  <c r="AG65" i="38"/>
  <c r="AF65" i="38"/>
  <c r="AI65" i="38" s="1"/>
  <c r="AP67" i="35"/>
  <c r="AR67" i="35" s="1"/>
  <c r="AC67" i="35"/>
  <c r="AE67" i="35" s="1"/>
  <c r="AH67" i="35" s="1"/>
  <c r="AQ67" i="35"/>
  <c r="AS67" i="35" s="1"/>
  <c r="AV67" i="35" s="1"/>
  <c r="AB67" i="35"/>
  <c r="AD67" i="35" s="1"/>
  <c r="AT65" i="33"/>
  <c r="AW65" i="33" s="1"/>
  <c r="AU65" i="33"/>
  <c r="R37" i="38"/>
  <c r="U35" i="35"/>
  <c r="AB38" i="35"/>
  <c r="K38" i="35" s="1"/>
  <c r="M38" i="35" s="1"/>
  <c r="S38" i="39"/>
  <c r="X38" i="39" s="1"/>
  <c r="R38" i="39"/>
  <c r="V35" i="31"/>
  <c r="W35" i="31"/>
  <c r="AF66" i="27"/>
  <c r="AI66" i="27" s="1"/>
  <c r="AG66" i="27"/>
  <c r="AP65" i="37"/>
  <c r="AR65" i="37" s="1"/>
  <c r="AB65" i="37"/>
  <c r="AD65" i="37" s="1"/>
  <c r="AQ65" i="37"/>
  <c r="AS65" i="37" s="1"/>
  <c r="AV65" i="37" s="1"/>
  <c r="AC65" i="37"/>
  <c r="AE65" i="37" s="1"/>
  <c r="AH65" i="37" s="1"/>
  <c r="AB66" i="32"/>
  <c r="AD66" i="32" s="1"/>
  <c r="AQ66" i="32"/>
  <c r="AS66" i="32" s="1"/>
  <c r="AV66" i="32" s="1"/>
  <c r="AC66" i="32"/>
  <c r="AE66" i="32" s="1"/>
  <c r="AH66" i="32" s="1"/>
  <c r="AP66" i="32"/>
  <c r="AR66" i="32" s="1"/>
  <c r="U37" i="31"/>
  <c r="L37" i="33"/>
  <c r="AA37" i="33"/>
  <c r="N37" i="33"/>
  <c r="S37" i="37"/>
  <c r="X37" i="37" s="1"/>
  <c r="R37" i="37"/>
  <c r="U37" i="37" s="1"/>
  <c r="AC38" i="33"/>
  <c r="M38" i="33" s="1"/>
  <c r="U37" i="39"/>
  <c r="T37" i="39"/>
  <c r="V36" i="31"/>
  <c r="W36" i="31"/>
  <c r="R37" i="36"/>
  <c r="X37" i="27"/>
  <c r="AQ66" i="33"/>
  <c r="AS66" i="33" s="1"/>
  <c r="AV66" i="33" s="1"/>
  <c r="AP66" i="33"/>
  <c r="AR66" i="33" s="1"/>
  <c r="AC66" i="33"/>
  <c r="AE66" i="33" s="1"/>
  <c r="AH66" i="33" s="1"/>
  <c r="AB66" i="33"/>
  <c r="AD66" i="33" s="1"/>
  <c r="S36" i="35"/>
  <c r="X36" i="35" s="1"/>
  <c r="AB67" i="27"/>
  <c r="AD67" i="27" s="1"/>
  <c r="AP67" i="27"/>
  <c r="AR67" i="27" s="1"/>
  <c r="AC67" i="27"/>
  <c r="AE67" i="27" s="1"/>
  <c r="AH67" i="27" s="1"/>
  <c r="AQ67" i="27"/>
  <c r="AS67" i="27" s="1"/>
  <c r="AV67" i="27" s="1"/>
  <c r="X36" i="32" l="1"/>
  <c r="T36" i="33"/>
  <c r="X36" i="33"/>
  <c r="U36" i="33"/>
  <c r="T36" i="36"/>
  <c r="AF69" i="31"/>
  <c r="AI69" i="31" s="1"/>
  <c r="AG69" i="31"/>
  <c r="AJ68" i="32"/>
  <c r="AK68" i="32"/>
  <c r="AL68" i="32"/>
  <c r="Z69" i="32"/>
  <c r="AA68" i="32"/>
  <c r="AM68" i="32"/>
  <c r="AK69" i="39"/>
  <c r="AJ69" i="39"/>
  <c r="AL69" i="39"/>
  <c r="AA69" i="39"/>
  <c r="AM69" i="39"/>
  <c r="R37" i="32"/>
  <c r="S37" i="32" s="1"/>
  <c r="AJ69" i="27"/>
  <c r="AA69" i="27"/>
  <c r="AK69" i="27"/>
  <c r="AL69" i="27"/>
  <c r="AM69" i="27"/>
  <c r="U38" i="39"/>
  <c r="V36" i="37"/>
  <c r="W36" i="37"/>
  <c r="AU66" i="33"/>
  <c r="AT66" i="33"/>
  <c r="AW66" i="33" s="1"/>
  <c r="W37" i="27"/>
  <c r="V37" i="27"/>
  <c r="R38" i="36"/>
  <c r="AU65" i="37"/>
  <c r="AT65" i="37"/>
  <c r="AW65" i="37" s="1"/>
  <c r="AT67" i="27"/>
  <c r="AW67" i="27" s="1"/>
  <c r="AU67" i="27"/>
  <c r="X37" i="36"/>
  <c r="S38" i="34"/>
  <c r="AQ67" i="32"/>
  <c r="AS67" i="32" s="1"/>
  <c r="AV67" i="32" s="1"/>
  <c r="AC67" i="32"/>
  <c r="AE67" i="32" s="1"/>
  <c r="AH67" i="32" s="1"/>
  <c r="AP67" i="32"/>
  <c r="AR67" i="32" s="1"/>
  <c r="AB67" i="32"/>
  <c r="AD67" i="32" s="1"/>
  <c r="X38" i="37"/>
  <c r="R38" i="31"/>
  <c r="Z70" i="35"/>
  <c r="AJ69" i="35"/>
  <c r="AM69" i="35"/>
  <c r="AK69" i="35"/>
  <c r="AL69" i="35"/>
  <c r="AA69" i="35"/>
  <c r="T37" i="37"/>
  <c r="T36" i="32"/>
  <c r="S37" i="33"/>
  <c r="R37" i="33"/>
  <c r="U37" i="33" s="1"/>
  <c r="AC67" i="36"/>
  <c r="AE67" i="36" s="1"/>
  <c r="AH67" i="36" s="1"/>
  <c r="AB67" i="36"/>
  <c r="AD67" i="36" s="1"/>
  <c r="AP67" i="36"/>
  <c r="AR67" i="36" s="1"/>
  <c r="AQ67" i="36"/>
  <c r="AS67" i="36" s="1"/>
  <c r="AV67" i="36" s="1"/>
  <c r="AF67" i="27"/>
  <c r="AI67" i="27" s="1"/>
  <c r="AG67" i="27"/>
  <c r="S36" i="36"/>
  <c r="X36" i="36" s="1"/>
  <c r="V37" i="31"/>
  <c r="W37" i="31"/>
  <c r="X35" i="33"/>
  <c r="S38" i="33"/>
  <c r="R38" i="33"/>
  <c r="S37" i="38"/>
  <c r="U37" i="38" s="1"/>
  <c r="AB66" i="34"/>
  <c r="AD66" i="34" s="1"/>
  <c r="AP66" i="34"/>
  <c r="AR66" i="34" s="1"/>
  <c r="AQ66" i="34"/>
  <c r="AS66" i="34" s="1"/>
  <c r="AV66" i="34" s="1"/>
  <c r="AC66" i="34"/>
  <c r="AE66" i="34" s="1"/>
  <c r="AH66" i="34" s="1"/>
  <c r="AF66" i="38"/>
  <c r="AI66" i="38" s="1"/>
  <c r="AG66" i="38"/>
  <c r="AC68" i="27"/>
  <c r="AE68" i="27" s="1"/>
  <c r="AH68" i="27" s="1"/>
  <c r="AP68" i="27"/>
  <c r="AR68" i="27" s="1"/>
  <c r="AQ68" i="27"/>
  <c r="AS68" i="27" s="1"/>
  <c r="AV68" i="27" s="1"/>
  <c r="AB68" i="27"/>
  <c r="AD68" i="27" s="1"/>
  <c r="AF65" i="37"/>
  <c r="AI65" i="37" s="1"/>
  <c r="AG65" i="37"/>
  <c r="R37" i="35"/>
  <c r="S38" i="37"/>
  <c r="U38" i="37" s="1"/>
  <c r="R38" i="37"/>
  <c r="AC68" i="35"/>
  <c r="AE68" i="35" s="1"/>
  <c r="AH68" i="35" s="1"/>
  <c r="AQ68" i="35"/>
  <c r="AS68" i="35" s="1"/>
  <c r="AV68" i="35" s="1"/>
  <c r="AB68" i="35"/>
  <c r="AD68" i="35" s="1"/>
  <c r="AP68" i="35"/>
  <c r="AR68" i="35" s="1"/>
  <c r="AU66" i="32"/>
  <c r="AT66" i="32"/>
  <c r="AW66" i="32" s="1"/>
  <c r="U36" i="35"/>
  <c r="S38" i="38"/>
  <c r="T38" i="38" s="1"/>
  <c r="X36" i="37"/>
  <c r="U38" i="38"/>
  <c r="AU67" i="39"/>
  <c r="AT67" i="39"/>
  <c r="AW67" i="39" s="1"/>
  <c r="AQ66" i="37"/>
  <c r="AS66" i="37" s="1"/>
  <c r="AV66" i="37" s="1"/>
  <c r="AB66" i="37"/>
  <c r="AD66" i="37" s="1"/>
  <c r="AP66" i="37"/>
  <c r="AR66" i="37" s="1"/>
  <c r="AC66" i="37"/>
  <c r="AE66" i="37" s="1"/>
  <c r="AH66" i="37" s="1"/>
  <c r="AA67" i="34"/>
  <c r="AM67" i="34"/>
  <c r="Z68" i="34"/>
  <c r="AJ67" i="34"/>
  <c r="AK67" i="34"/>
  <c r="AL67" i="34"/>
  <c r="AG66" i="36"/>
  <c r="AF66" i="36"/>
  <c r="AI66" i="36" s="1"/>
  <c r="U36" i="36"/>
  <c r="AF66" i="32"/>
  <c r="AI66" i="32" s="1"/>
  <c r="AG66" i="32"/>
  <c r="V35" i="33"/>
  <c r="W35" i="33"/>
  <c r="X37" i="33"/>
  <c r="AP67" i="33"/>
  <c r="AR67" i="33" s="1"/>
  <c r="AB67" i="33"/>
  <c r="AD67" i="33" s="1"/>
  <c r="AQ67" i="33"/>
  <c r="AS67" i="33" s="1"/>
  <c r="AV67" i="33" s="1"/>
  <c r="AC67" i="33"/>
  <c r="AE67" i="33" s="1"/>
  <c r="AH67" i="33" s="1"/>
  <c r="AT65" i="34"/>
  <c r="AW65" i="34" s="1"/>
  <c r="AU65" i="34"/>
  <c r="T37" i="33"/>
  <c r="AT69" i="31"/>
  <c r="AW69" i="31" s="1"/>
  <c r="AU69" i="31"/>
  <c r="T38" i="39"/>
  <c r="AF65" i="34"/>
  <c r="AI65" i="34" s="1"/>
  <c r="AG65" i="34"/>
  <c r="AM71" i="31"/>
  <c r="AA71" i="31"/>
  <c r="AJ71" i="31"/>
  <c r="AK71" i="31"/>
  <c r="AL71" i="31"/>
  <c r="V37" i="39"/>
  <c r="W37" i="39"/>
  <c r="AB70" i="31"/>
  <c r="AD70" i="31" s="1"/>
  <c r="AC70" i="31"/>
  <c r="AE70" i="31" s="1"/>
  <c r="AH70" i="31" s="1"/>
  <c r="U35" i="33"/>
  <c r="R38" i="27"/>
  <c r="L38" i="35"/>
  <c r="AA38" i="35"/>
  <c r="N38" i="35"/>
  <c r="AG66" i="33"/>
  <c r="AF66" i="33"/>
  <c r="AI66" i="33" s="1"/>
  <c r="T36" i="35"/>
  <c r="Z69" i="33"/>
  <c r="AK68" i="33"/>
  <c r="AL68" i="33"/>
  <c r="AM68" i="33"/>
  <c r="AA68" i="33"/>
  <c r="AJ68" i="33"/>
  <c r="Z68" i="37"/>
  <c r="AJ67" i="37"/>
  <c r="AK67" i="37"/>
  <c r="AA67" i="37"/>
  <c r="AL67" i="37"/>
  <c r="AM67" i="37"/>
  <c r="AT66" i="36"/>
  <c r="AW66" i="36" s="1"/>
  <c r="AU66" i="36"/>
  <c r="AC67" i="38"/>
  <c r="AE67" i="38" s="1"/>
  <c r="AH67" i="38" s="1"/>
  <c r="AP67" i="38"/>
  <c r="AR67" i="38" s="1"/>
  <c r="AB67" i="38"/>
  <c r="AD67" i="38" s="1"/>
  <c r="AQ67" i="38"/>
  <c r="AS67" i="38" s="1"/>
  <c r="AV67" i="38" s="1"/>
  <c r="AB68" i="39"/>
  <c r="AD68" i="39" s="1"/>
  <c r="AP68" i="39"/>
  <c r="AR68" i="39" s="1"/>
  <c r="AQ68" i="39"/>
  <c r="AS68" i="39" s="1"/>
  <c r="AV68" i="39" s="1"/>
  <c r="AC68" i="39"/>
  <c r="AE68" i="39" s="1"/>
  <c r="AH68" i="39" s="1"/>
  <c r="U37" i="36"/>
  <c r="S37" i="36"/>
  <c r="T37" i="36" s="1"/>
  <c r="R38" i="32"/>
  <c r="AL68" i="36"/>
  <c r="AA68" i="36"/>
  <c r="AM68" i="36"/>
  <c r="Z69" i="36"/>
  <c r="AK68" i="36"/>
  <c r="AJ68" i="36"/>
  <c r="T38" i="37"/>
  <c r="AF67" i="35"/>
  <c r="AI67" i="35" s="1"/>
  <c r="AG67" i="35"/>
  <c r="AG67" i="39"/>
  <c r="AF67" i="39"/>
  <c r="AI67" i="39" s="1"/>
  <c r="AU67" i="35"/>
  <c r="AT67" i="35"/>
  <c r="AW67" i="35" s="1"/>
  <c r="V34" i="33"/>
  <c r="W34" i="33"/>
  <c r="V35" i="35"/>
  <c r="W35" i="35"/>
  <c r="X38" i="33"/>
  <c r="AJ68" i="38"/>
  <c r="AK68" i="38"/>
  <c r="AL68" i="38"/>
  <c r="Z69" i="38"/>
  <c r="AA68" i="38"/>
  <c r="AM68" i="38"/>
  <c r="AU66" i="38"/>
  <c r="AT66" i="38"/>
  <c r="AW66" i="38" s="1"/>
  <c r="U37" i="32" l="1"/>
  <c r="X37" i="32"/>
  <c r="T37" i="32"/>
  <c r="V37" i="36"/>
  <c r="W37" i="36"/>
  <c r="X37" i="35"/>
  <c r="T37" i="38"/>
  <c r="AB67" i="37"/>
  <c r="AD67" i="37" s="1"/>
  <c r="AC67" i="37"/>
  <c r="AE67" i="37" s="1"/>
  <c r="AH67" i="37" s="1"/>
  <c r="AP67" i="37"/>
  <c r="AR67" i="37" s="1"/>
  <c r="AQ67" i="37"/>
  <c r="AS67" i="37" s="1"/>
  <c r="AV67" i="37" s="1"/>
  <c r="V36" i="35"/>
  <c r="W36" i="35"/>
  <c r="AF68" i="27"/>
  <c r="AI68" i="27" s="1"/>
  <c r="AG68" i="27"/>
  <c r="S38" i="31"/>
  <c r="U38" i="31" s="1"/>
  <c r="X38" i="31"/>
  <c r="V36" i="36"/>
  <c r="W36" i="36"/>
  <c r="AT66" i="37"/>
  <c r="AW66" i="37" s="1"/>
  <c r="AU66" i="37"/>
  <c r="AT68" i="35"/>
  <c r="AW68" i="35" s="1"/>
  <c r="AU68" i="35"/>
  <c r="T38" i="33"/>
  <c r="U38" i="33"/>
  <c r="X37" i="38"/>
  <c r="AF66" i="37"/>
  <c r="AI66" i="37" s="1"/>
  <c r="AG66" i="37"/>
  <c r="AF67" i="36"/>
  <c r="AI67" i="36" s="1"/>
  <c r="AG67" i="36"/>
  <c r="V37" i="33"/>
  <c r="W37" i="33"/>
  <c r="AF67" i="32"/>
  <c r="AI67" i="32" s="1"/>
  <c r="AG67" i="32"/>
  <c r="AB68" i="32"/>
  <c r="AD68" i="32" s="1"/>
  <c r="AC68" i="32"/>
  <c r="AE68" i="32" s="1"/>
  <c r="AH68" i="32" s="1"/>
  <c r="AQ68" i="32"/>
  <c r="AS68" i="32" s="1"/>
  <c r="AV68" i="32" s="1"/>
  <c r="AP68" i="32"/>
  <c r="AR68" i="32" s="1"/>
  <c r="AT67" i="32"/>
  <c r="AW67" i="32" s="1"/>
  <c r="AU67" i="32"/>
  <c r="S38" i="36"/>
  <c r="AB69" i="27"/>
  <c r="AD69" i="27" s="1"/>
  <c r="AC69" i="27"/>
  <c r="AE69" i="27" s="1"/>
  <c r="AH69" i="27" s="1"/>
  <c r="AQ69" i="27"/>
  <c r="AS69" i="27" s="1"/>
  <c r="AV69" i="27" s="1"/>
  <c r="AP69" i="27"/>
  <c r="AR69" i="27" s="1"/>
  <c r="AJ69" i="32"/>
  <c r="AK69" i="32"/>
  <c r="AA69" i="32"/>
  <c r="AM69" i="32"/>
  <c r="AL69" i="32"/>
  <c r="AF70" i="31"/>
  <c r="AI70" i="31" s="1"/>
  <c r="AG70" i="31"/>
  <c r="AQ69" i="39"/>
  <c r="AS69" i="39" s="1"/>
  <c r="AV69" i="39" s="1"/>
  <c r="AP69" i="39"/>
  <c r="AR69" i="39" s="1"/>
  <c r="AC69" i="39"/>
  <c r="AE69" i="39" s="1"/>
  <c r="AH69" i="39" s="1"/>
  <c r="AB69" i="39"/>
  <c r="AD69" i="39" s="1"/>
  <c r="AF68" i="39"/>
  <c r="AI68" i="39" s="1"/>
  <c r="AG68" i="39"/>
  <c r="AF68" i="35"/>
  <c r="AI68" i="35" s="1"/>
  <c r="AG68" i="35"/>
  <c r="AP68" i="36"/>
  <c r="AR68" i="36" s="1"/>
  <c r="AB68" i="36"/>
  <c r="AD68" i="36" s="1"/>
  <c r="AQ68" i="36"/>
  <c r="AS68" i="36" s="1"/>
  <c r="AV68" i="36" s="1"/>
  <c r="AC68" i="36"/>
  <c r="AE68" i="36" s="1"/>
  <c r="AH68" i="36" s="1"/>
  <c r="AU67" i="38"/>
  <c r="AT67" i="38"/>
  <c r="AW67" i="38" s="1"/>
  <c r="AP69" i="35"/>
  <c r="AR69" i="35" s="1"/>
  <c r="AQ69" i="35"/>
  <c r="AS69" i="35" s="1"/>
  <c r="AV69" i="35" s="1"/>
  <c r="AB69" i="35"/>
  <c r="AD69" i="35" s="1"/>
  <c r="AC69" i="35"/>
  <c r="AE69" i="35" s="1"/>
  <c r="AH69" i="35" s="1"/>
  <c r="V36" i="33"/>
  <c r="W36" i="33"/>
  <c r="V38" i="37"/>
  <c r="W38" i="37"/>
  <c r="AB67" i="34"/>
  <c r="AD67" i="34" s="1"/>
  <c r="AQ67" i="34"/>
  <c r="AS67" i="34" s="1"/>
  <c r="AV67" i="34" s="1"/>
  <c r="AP67" i="34"/>
  <c r="AR67" i="34" s="1"/>
  <c r="AC67" i="34"/>
  <c r="AE67" i="34" s="1"/>
  <c r="AH67" i="34" s="1"/>
  <c r="AU68" i="39"/>
  <c r="AT68" i="39"/>
  <c r="AW68" i="39" s="1"/>
  <c r="V36" i="32"/>
  <c r="W36" i="32"/>
  <c r="AB68" i="38"/>
  <c r="AD68" i="38" s="1"/>
  <c r="AQ68" i="38"/>
  <c r="AS68" i="38" s="1"/>
  <c r="AV68" i="38" s="1"/>
  <c r="AC68" i="38"/>
  <c r="AE68" i="38" s="1"/>
  <c r="AH68" i="38" s="1"/>
  <c r="AP68" i="38"/>
  <c r="AR68" i="38" s="1"/>
  <c r="X38" i="38"/>
  <c r="AL69" i="33"/>
  <c r="AM69" i="33"/>
  <c r="Z70" i="33"/>
  <c r="AA69" i="33"/>
  <c r="AJ69" i="33"/>
  <c r="AK69" i="33"/>
  <c r="AJ70" i="35"/>
  <c r="AK70" i="35"/>
  <c r="AL70" i="35"/>
  <c r="AM70" i="35"/>
  <c r="Z71" i="35"/>
  <c r="AA70" i="35"/>
  <c r="V38" i="39"/>
  <c r="W38" i="39"/>
  <c r="R38" i="35"/>
  <c r="V37" i="37"/>
  <c r="W37" i="37"/>
  <c r="AK69" i="38"/>
  <c r="AL69" i="38"/>
  <c r="AA69" i="38"/>
  <c r="AJ69" i="38"/>
  <c r="AM69" i="38"/>
  <c r="S38" i="27"/>
  <c r="T38" i="27" s="1"/>
  <c r="U38" i="27"/>
  <c r="AF67" i="33"/>
  <c r="AI67" i="33" s="1"/>
  <c r="AG67" i="33"/>
  <c r="AJ68" i="37"/>
  <c r="Z69" i="37"/>
  <c r="AM68" i="37"/>
  <c r="AA68" i="37"/>
  <c r="AK68" i="37"/>
  <c r="AL68" i="37"/>
  <c r="AF67" i="38"/>
  <c r="AI67" i="38" s="1"/>
  <c r="AG67" i="38"/>
  <c r="AB71" i="31"/>
  <c r="AD71" i="31" s="1"/>
  <c r="AC71" i="31"/>
  <c r="AE71" i="31" s="1"/>
  <c r="AH71" i="31" s="1"/>
  <c r="S38" i="32"/>
  <c r="T38" i="32" s="1"/>
  <c r="AT67" i="33"/>
  <c r="AW67" i="33" s="1"/>
  <c r="AU67" i="33"/>
  <c r="V38" i="38"/>
  <c r="W38" i="38"/>
  <c r="S37" i="35"/>
  <c r="T37" i="35" s="1"/>
  <c r="AT66" i="34"/>
  <c r="AW66" i="34" s="1"/>
  <c r="AU66" i="34"/>
  <c r="AT67" i="36"/>
  <c r="AW67" i="36" s="1"/>
  <c r="AU67" i="36"/>
  <c r="Z70" i="36"/>
  <c r="AJ69" i="36"/>
  <c r="AA69" i="36"/>
  <c r="AK69" i="36"/>
  <c r="AL69" i="36"/>
  <c r="AM69" i="36"/>
  <c r="AU68" i="27"/>
  <c r="AT68" i="27"/>
  <c r="AW68" i="27" s="1"/>
  <c r="AP68" i="33"/>
  <c r="AR68" i="33" s="1"/>
  <c r="AQ68" i="33"/>
  <c r="AS68" i="33" s="1"/>
  <c r="AV68" i="33" s="1"/>
  <c r="AC68" i="33"/>
  <c r="AE68" i="33" s="1"/>
  <c r="AH68" i="33" s="1"/>
  <c r="AB68" i="33"/>
  <c r="AD68" i="33" s="1"/>
  <c r="AM68" i="34"/>
  <c r="AA68" i="34"/>
  <c r="Z69" i="34"/>
  <c r="AJ68" i="34"/>
  <c r="AK68" i="34"/>
  <c r="AL68" i="34"/>
  <c r="AF66" i="34"/>
  <c r="AI66" i="34" s="1"/>
  <c r="AG66" i="34"/>
  <c r="U38" i="34"/>
  <c r="X38" i="34"/>
  <c r="T38" i="34"/>
  <c r="U38" i="32" l="1"/>
  <c r="AG71" i="31"/>
  <c r="AF71" i="31"/>
  <c r="AI71" i="31" s="1"/>
  <c r="AJ70" i="33"/>
  <c r="AM70" i="33"/>
  <c r="Z71" i="33"/>
  <c r="AA70" i="33"/>
  <c r="AK70" i="33"/>
  <c r="AL70" i="33"/>
  <c r="V37" i="38"/>
  <c r="W37" i="38"/>
  <c r="V38" i="34"/>
  <c r="W38" i="34"/>
  <c r="V38" i="27"/>
  <c r="W38" i="27"/>
  <c r="AT67" i="34"/>
  <c r="AW67" i="34" s="1"/>
  <c r="AU67" i="34"/>
  <c r="AT69" i="39"/>
  <c r="AW69" i="39" s="1"/>
  <c r="AU69" i="39"/>
  <c r="AF69" i="27"/>
  <c r="AI69" i="27" s="1"/>
  <c r="AG69" i="27"/>
  <c r="X38" i="27"/>
  <c r="AF67" i="37"/>
  <c r="AI67" i="37" s="1"/>
  <c r="AG67" i="37"/>
  <c r="AG67" i="34"/>
  <c r="AF67" i="34"/>
  <c r="AI67" i="34" s="1"/>
  <c r="AK71" i="35"/>
  <c r="AL71" i="35"/>
  <c r="AM71" i="35"/>
  <c r="AJ71" i="35"/>
  <c r="AA71" i="35"/>
  <c r="AU68" i="38"/>
  <c r="AT68" i="38"/>
  <c r="AW68" i="38" s="1"/>
  <c r="AT68" i="32"/>
  <c r="AW68" i="32" s="1"/>
  <c r="AU68" i="32"/>
  <c r="X38" i="32"/>
  <c r="AU69" i="35"/>
  <c r="AT69" i="35"/>
  <c r="AW69" i="35" s="1"/>
  <c r="U38" i="36"/>
  <c r="X38" i="36"/>
  <c r="T38" i="36"/>
  <c r="AF69" i="39"/>
  <c r="AI69" i="39" s="1"/>
  <c r="AG69" i="39"/>
  <c r="AT68" i="33"/>
  <c r="AW68" i="33" s="1"/>
  <c r="AU68" i="33"/>
  <c r="AB70" i="35"/>
  <c r="AD70" i="35" s="1"/>
  <c r="AC70" i="35"/>
  <c r="AE70" i="35" s="1"/>
  <c r="AH70" i="35" s="1"/>
  <c r="AL69" i="37"/>
  <c r="AK69" i="37"/>
  <c r="AM69" i="37"/>
  <c r="Z70" i="37"/>
  <c r="AA69" i="37"/>
  <c r="AJ69" i="37"/>
  <c r="AG68" i="38"/>
  <c r="AF68" i="38"/>
  <c r="AI68" i="38" s="1"/>
  <c r="AP69" i="32"/>
  <c r="AR69" i="32" s="1"/>
  <c r="AB69" i="32"/>
  <c r="AD69" i="32" s="1"/>
  <c r="AC69" i="32"/>
  <c r="AE69" i="32" s="1"/>
  <c r="AH69" i="32" s="1"/>
  <c r="AQ69" i="32"/>
  <c r="AS69" i="32" s="1"/>
  <c r="AV69" i="32" s="1"/>
  <c r="V38" i="33"/>
  <c r="W38" i="33"/>
  <c r="T38" i="31"/>
  <c r="AQ69" i="33"/>
  <c r="AS69" i="33" s="1"/>
  <c r="AV69" i="33" s="1"/>
  <c r="AP69" i="33"/>
  <c r="AR69" i="33" s="1"/>
  <c r="AB69" i="33"/>
  <c r="AD69" i="33" s="1"/>
  <c r="AC69" i="33"/>
  <c r="AE69" i="33" s="1"/>
  <c r="AH69" i="33" s="1"/>
  <c r="Z71" i="36"/>
  <c r="AA70" i="36"/>
  <c r="AM70" i="36"/>
  <c r="AK70" i="36"/>
  <c r="AJ70" i="36"/>
  <c r="AL70" i="36"/>
  <c r="S38" i="35"/>
  <c r="U38" i="35" s="1"/>
  <c r="V37" i="35"/>
  <c r="W37" i="35"/>
  <c r="AP68" i="37"/>
  <c r="AR68" i="37" s="1"/>
  <c r="AB68" i="37"/>
  <c r="AD68" i="37" s="1"/>
  <c r="AQ68" i="37"/>
  <c r="AS68" i="37" s="1"/>
  <c r="AV68" i="37" s="1"/>
  <c r="AC68" i="37"/>
  <c r="AE68" i="37" s="1"/>
  <c r="AH68" i="37" s="1"/>
  <c r="AT68" i="36"/>
  <c r="AW68" i="36" s="1"/>
  <c r="AU68" i="36"/>
  <c r="AF68" i="32"/>
  <c r="AI68" i="32" s="1"/>
  <c r="AG68" i="32"/>
  <c r="V37" i="32"/>
  <c r="W37" i="32"/>
  <c r="AF68" i="33"/>
  <c r="AI68" i="33" s="1"/>
  <c r="AG68" i="33"/>
  <c r="AP69" i="38"/>
  <c r="AR69" i="38" s="1"/>
  <c r="AC69" i="38"/>
  <c r="AE69" i="38" s="1"/>
  <c r="AH69" i="38" s="1"/>
  <c r="AQ69" i="38"/>
  <c r="AS69" i="38" s="1"/>
  <c r="AV69" i="38" s="1"/>
  <c r="AB69" i="38"/>
  <c r="AD69" i="38" s="1"/>
  <c r="AF68" i="36"/>
  <c r="AI68" i="36" s="1"/>
  <c r="AG68" i="36"/>
  <c r="AA69" i="34"/>
  <c r="AM69" i="34"/>
  <c r="AJ69" i="34"/>
  <c r="AK69" i="34"/>
  <c r="AL69" i="34"/>
  <c r="U37" i="35"/>
  <c r="AG69" i="35"/>
  <c r="AF69" i="35"/>
  <c r="AI69" i="35" s="1"/>
  <c r="AU67" i="37"/>
  <c r="AT67" i="37"/>
  <c r="AW67" i="37" s="1"/>
  <c r="AC68" i="34"/>
  <c r="AE68" i="34" s="1"/>
  <c r="AH68" i="34" s="1"/>
  <c r="AQ68" i="34"/>
  <c r="AS68" i="34" s="1"/>
  <c r="AV68" i="34" s="1"/>
  <c r="AP68" i="34"/>
  <c r="AR68" i="34" s="1"/>
  <c r="AB68" i="34"/>
  <c r="AD68" i="34" s="1"/>
  <c r="AB69" i="36"/>
  <c r="AD69" i="36" s="1"/>
  <c r="AP69" i="36"/>
  <c r="AR69" i="36" s="1"/>
  <c r="AC69" i="36"/>
  <c r="AE69" i="36" s="1"/>
  <c r="AH69" i="36" s="1"/>
  <c r="AQ69" i="36"/>
  <c r="AS69" i="36" s="1"/>
  <c r="AV69" i="36" s="1"/>
  <c r="V38" i="32"/>
  <c r="W38" i="32"/>
  <c r="AT69" i="27"/>
  <c r="AW69" i="27" s="1"/>
  <c r="AU69" i="27"/>
  <c r="AB71" i="35" l="1"/>
  <c r="AD71" i="35" s="1"/>
  <c r="AC71" i="35"/>
  <c r="AE71" i="35" s="1"/>
  <c r="AH71" i="35" s="1"/>
  <c r="AF68" i="37"/>
  <c r="AI68" i="37" s="1"/>
  <c r="AG68" i="37"/>
  <c r="AF69" i="33"/>
  <c r="AI69" i="33" s="1"/>
  <c r="AG69" i="33"/>
  <c r="AB70" i="33"/>
  <c r="AD70" i="33" s="1"/>
  <c r="AC70" i="33"/>
  <c r="AE70" i="33" s="1"/>
  <c r="AH70" i="33" s="1"/>
  <c r="V38" i="36"/>
  <c r="W38" i="36"/>
  <c r="AA71" i="33"/>
  <c r="AJ71" i="33"/>
  <c r="AM71" i="33"/>
  <c r="AK71" i="33"/>
  <c r="AL71" i="33"/>
  <c r="AT68" i="34"/>
  <c r="AW68" i="34" s="1"/>
  <c r="AU68" i="34"/>
  <c r="AF70" i="35"/>
  <c r="AI70" i="35" s="1"/>
  <c r="AG70" i="35"/>
  <c r="AU69" i="33"/>
  <c r="AT69" i="33"/>
  <c r="AW69" i="33" s="1"/>
  <c r="V38" i="31"/>
  <c r="W38" i="31"/>
  <c r="AG69" i="32"/>
  <c r="AF69" i="32"/>
  <c r="AI69" i="32" s="1"/>
  <c r="AB70" i="36"/>
  <c r="AD70" i="36" s="1"/>
  <c r="AC70" i="36"/>
  <c r="AE70" i="36" s="1"/>
  <c r="AH70" i="36" s="1"/>
  <c r="AF69" i="38"/>
  <c r="AI69" i="38" s="1"/>
  <c r="AG69" i="38"/>
  <c r="AT69" i="32"/>
  <c r="AW69" i="32" s="1"/>
  <c r="AU69" i="32"/>
  <c r="AT69" i="38"/>
  <c r="AW69" i="38" s="1"/>
  <c r="AU69" i="38"/>
  <c r="AB69" i="37"/>
  <c r="AD69" i="37" s="1"/>
  <c r="AC69" i="37"/>
  <c r="AE69" i="37" s="1"/>
  <c r="AH69" i="37" s="1"/>
  <c r="AP69" i="37"/>
  <c r="AR69" i="37" s="1"/>
  <c r="AQ69" i="37"/>
  <c r="AS69" i="37" s="1"/>
  <c r="AV69" i="37" s="1"/>
  <c r="Z71" i="37"/>
  <c r="AJ70" i="37"/>
  <c r="AK70" i="37"/>
  <c r="AA70" i="37"/>
  <c r="AL70" i="37"/>
  <c r="AM70" i="37"/>
  <c r="AG69" i="36"/>
  <c r="AF69" i="36"/>
  <c r="AI69" i="36" s="1"/>
  <c r="AP69" i="34"/>
  <c r="AR69" i="34" s="1"/>
  <c r="AQ69" i="34"/>
  <c r="AS69" i="34" s="1"/>
  <c r="AV69" i="34" s="1"/>
  <c r="AB69" i="34"/>
  <c r="AD69" i="34" s="1"/>
  <c r="AC69" i="34"/>
  <c r="AE69" i="34" s="1"/>
  <c r="AH69" i="34" s="1"/>
  <c r="AA71" i="36"/>
  <c r="AK71" i="36"/>
  <c r="AL71" i="36"/>
  <c r="AM71" i="36"/>
  <c r="AJ71" i="36"/>
  <c r="AT68" i="37"/>
  <c r="AW68" i="37" s="1"/>
  <c r="AU68" i="37"/>
  <c r="AT69" i="36"/>
  <c r="AW69" i="36" s="1"/>
  <c r="AU69" i="36"/>
  <c r="AF68" i="34"/>
  <c r="AI68" i="34" s="1"/>
  <c r="AG68" i="34"/>
  <c r="X38" i="35"/>
  <c r="T38" i="35"/>
  <c r="AC71" i="33" l="1"/>
  <c r="AE71" i="33" s="1"/>
  <c r="AH71" i="33" s="1"/>
  <c r="AB71" i="33"/>
  <c r="AD71" i="33" s="1"/>
  <c r="AT69" i="34"/>
  <c r="AW69" i="34" s="1"/>
  <c r="AU69" i="34"/>
  <c r="AF69" i="37"/>
  <c r="AI69" i="37" s="1"/>
  <c r="AG69" i="37"/>
  <c r="AF70" i="33"/>
  <c r="AI70" i="33" s="1"/>
  <c r="AG70" i="33"/>
  <c r="AF69" i="34"/>
  <c r="AI69" i="34" s="1"/>
  <c r="AG69" i="34"/>
  <c r="V38" i="35"/>
  <c r="W38" i="35"/>
  <c r="AB71" i="36"/>
  <c r="AD71" i="36" s="1"/>
  <c r="AC71" i="36"/>
  <c r="AE71" i="36" s="1"/>
  <c r="AH71" i="36" s="1"/>
  <c r="AL71" i="37"/>
  <c r="AK71" i="37"/>
  <c r="AM71" i="37"/>
  <c r="AJ71" i="37"/>
  <c r="AA71" i="37"/>
  <c r="AF70" i="36"/>
  <c r="AI70" i="36" s="1"/>
  <c r="AG70" i="36"/>
  <c r="AT69" i="37"/>
  <c r="AW69" i="37" s="1"/>
  <c r="AU69" i="37"/>
  <c r="AC70" i="37"/>
  <c r="AE70" i="37" s="1"/>
  <c r="AH70" i="37" s="1"/>
  <c r="AB70" i="37"/>
  <c r="AD70" i="37" s="1"/>
  <c r="AG71" i="35"/>
  <c r="AF71" i="35"/>
  <c r="AI71" i="35" s="1"/>
  <c r="AC71" i="37" l="1"/>
  <c r="AE71" i="37" s="1"/>
  <c r="AH71" i="37" s="1"/>
  <c r="AB71" i="37"/>
  <c r="AD71" i="37" s="1"/>
  <c r="AF71" i="33"/>
  <c r="AI71" i="33" s="1"/>
  <c r="AG71" i="33"/>
  <c r="AF70" i="37"/>
  <c r="AI70" i="37" s="1"/>
  <c r="AG70" i="37"/>
  <c r="AF71" i="36"/>
  <c r="AI71" i="36" s="1"/>
  <c r="AG71" i="36"/>
  <c r="AG71" i="37" l="1"/>
  <c r="AF71" i="37"/>
  <c r="AI71" i="37" s="1"/>
</calcChain>
</file>

<file path=xl/sharedStrings.xml><?xml version="1.0" encoding="utf-8"?>
<sst xmlns="http://schemas.openxmlformats.org/spreadsheetml/2006/main" count="3457" uniqueCount="475">
  <si>
    <t>Spreadsheet by Del Hanson, David Cunningham, Piers Dawe, David Dolfi  Agilent Technologies</t>
  </si>
  <si>
    <t>Case:</t>
  </si>
  <si>
    <t>SMF</t>
  </si>
  <si>
    <t>Rev.</t>
  </si>
  <si>
    <t>Geo mean R</t>
  </si>
  <si>
    <t>linear units</t>
  </si>
  <si>
    <t>Input=</t>
  </si>
  <si>
    <t>Bold</t>
  </si>
  <si>
    <t>Target reach</t>
  </si>
  <si>
    <t>km</t>
  </si>
  <si>
    <t>ps</t>
  </si>
  <si>
    <t>Model/format rev</t>
  </si>
  <si>
    <t>of</t>
  </si>
  <si>
    <t xml:space="preserve">Spec extinction ratio </t>
  </si>
  <si>
    <t>ps/(nm.km)</t>
  </si>
  <si>
    <t>BWm=</t>
  </si>
  <si>
    <t>MHz*km</t>
  </si>
  <si>
    <t>L_start=</t>
  </si>
  <si>
    <t>C_att=</t>
  </si>
  <si>
    <t>Spec ext. ratio penalty</t>
  </si>
  <si>
    <t>dBo</t>
  </si>
  <si>
    <t>L_inc=</t>
  </si>
  <si>
    <t>Refl Tx</t>
  </si>
  <si>
    <t>dB</t>
  </si>
  <si>
    <t>D2</t>
  </si>
  <si>
    <t>Det.Jitter</t>
  </si>
  <si>
    <t>RIN_Coef=</t>
  </si>
  <si>
    <t>Refl Rx</t>
  </si>
  <si>
    <t>Q=</t>
  </si>
  <si>
    <t>Pwr.Bud.-Conn.Loss</t>
  </si>
  <si>
    <t>no units</t>
  </si>
  <si>
    <t>ERF arg=</t>
  </si>
  <si>
    <t>Eff. BWm=</t>
  </si>
  <si>
    <t>Margin</t>
  </si>
  <si>
    <t>ERF=</t>
  </si>
  <si>
    <t>Worst ave launch pwr</t>
  </si>
  <si>
    <t>uW</t>
  </si>
  <si>
    <t>dB/Hz</t>
  </si>
  <si>
    <t>Base Rate=</t>
  </si>
  <si>
    <t>MBd</t>
  </si>
  <si>
    <t>DCD_DJ=</t>
  </si>
  <si>
    <t>B1=</t>
  </si>
  <si>
    <t>RIN at MinER</t>
  </si>
  <si>
    <t>Rec_BW=</t>
  </si>
  <si>
    <t>MHz</t>
  </si>
  <si>
    <t>C1=</t>
  </si>
  <si>
    <t>ns.MHz</t>
  </si>
  <si>
    <t>T_rx(10-90)</t>
  </si>
  <si>
    <t>ISI_TP4_Rx</t>
  </si>
  <si>
    <t>MPN k(OMA)</t>
  </si>
  <si>
    <t>Tx eye height</t>
  </si>
  <si>
    <t>c_rx</t>
  </si>
  <si>
    <t>Stressed</t>
  </si>
  <si>
    <t>ISI at eye</t>
  </si>
  <si>
    <t>ISI, jitter</t>
  </si>
  <si>
    <t>fraction of 1/2 eye</t>
  </si>
  <si>
    <t>P_BLW</t>
  </si>
  <si>
    <t>Receiver</t>
  </si>
  <si>
    <t>Pisi</t>
  </si>
  <si>
    <t>corners</t>
  </si>
  <si>
    <t>&amp; TP4</t>
  </si>
  <si>
    <t>From DJ times</t>
  </si>
  <si>
    <t xml:space="preserve">L  </t>
  </si>
  <si>
    <t>D1.L</t>
  </si>
  <si>
    <t>D2.L</t>
  </si>
  <si>
    <t>BWcd</t>
  </si>
  <si>
    <t>effBWm</t>
  </si>
  <si>
    <t>Te</t>
  </si>
  <si>
    <t>Tc</t>
  </si>
  <si>
    <t>Patt</t>
  </si>
  <si>
    <t>Beta</t>
  </si>
  <si>
    <t>SDmpn</t>
  </si>
  <si>
    <t>Pmpn</t>
  </si>
  <si>
    <t>Prin</t>
  </si>
  <si>
    <t>Pcross</t>
  </si>
  <si>
    <t>Ptotal</t>
  </si>
  <si>
    <t>Ch IL</t>
  </si>
  <si>
    <t>LP Pen</t>
  </si>
  <si>
    <t>V_rin</t>
  </si>
  <si>
    <t>central</t>
  </si>
  <si>
    <t>ex jitter</t>
  </si>
  <si>
    <t>closed eye</t>
  </si>
  <si>
    <t>P-C</t>
  </si>
  <si>
    <t>(for</t>
  </si>
  <si>
    <t>(for margin</t>
  </si>
  <si>
    <t>ERF arg</t>
  </si>
  <si>
    <t>Erf arg 1a</t>
  </si>
  <si>
    <t>Erf arg 2a</t>
  </si>
  <si>
    <t>Erf arg 1b</t>
  </si>
  <si>
    <t>Erf arg 2b</t>
  </si>
  <si>
    <t>(km)</t>
  </si>
  <si>
    <t>(MHz)</t>
  </si>
  <si>
    <t>(ps)</t>
  </si>
  <si>
    <t>(dB)</t>
  </si>
  <si>
    <t xml:space="preserve"> (dB)</t>
  </si>
  <si>
    <t>(dBm)</t>
  </si>
  <si>
    <t>J=0, dB</t>
  </si>
  <si>
    <t>(no units)</t>
  </si>
  <si>
    <t>graph)</t>
  </si>
  <si>
    <t>Target</t>
  </si>
  <si>
    <t>at target L)</t>
  </si>
  <si>
    <t>Notes</t>
  </si>
  <si>
    <t>Draft</t>
  </si>
  <si>
    <t>See"Notes" page</t>
  </si>
  <si>
    <r>
      <t>h</t>
    </r>
    <r>
      <rPr>
        <vertAlign val="subscript"/>
        <sz val="12"/>
        <color indexed="23"/>
        <rFont val="Arial"/>
        <family val="2"/>
      </rPr>
      <t>eye</t>
    </r>
    <r>
      <rPr>
        <sz val="12"/>
        <color indexed="23"/>
        <rFont val="Arial"/>
        <family val="2"/>
      </rPr>
      <t>(0)</t>
    </r>
  </si>
  <si>
    <t>(variance)</t>
  </si>
  <si>
    <t>Vmn</t>
  </si>
  <si>
    <t>P_DJ</t>
  </si>
  <si>
    <t>Tb_eff=</t>
  </si>
  <si>
    <t>Erf arg 1c</t>
  </si>
  <si>
    <t>Erf arg 2c</t>
  </si>
  <si>
    <t>For P_DJ</t>
  </si>
  <si>
    <t>ISI &amp;</t>
  </si>
  <si>
    <t>DJ</t>
  </si>
  <si>
    <t>Eye corners before DJ</t>
  </si>
  <si>
    <t>Tx mask top</t>
  </si>
  <si>
    <t>UI</t>
  </si>
  <si>
    <t>dBm</t>
  </si>
  <si>
    <t>"Worst"ave.TxPwr</t>
  </si>
  <si>
    <t>Ext. ratio penalty</t>
  </si>
  <si>
    <t>Min. Ext Ratio=</t>
  </si>
  <si>
    <t>Tx pwr OMA=</t>
  </si>
  <si>
    <t>Test Source ER=</t>
  </si>
  <si>
    <t>(UI) ex DCD</t>
  </si>
  <si>
    <t>Disp. min. Uo=</t>
  </si>
  <si>
    <t>nm</t>
  </si>
  <si>
    <t>ps/nm</t>
  </si>
  <si>
    <t>Reflection Noise factor</t>
  </si>
  <si>
    <t>Basics</t>
  </si>
  <si>
    <t>Transmitter</t>
  </si>
  <si>
    <t>Effect. DJ=</t>
  </si>
  <si>
    <t>RIN(OMA)</t>
  </si>
  <si>
    <t>Ts(20-80)</t>
  </si>
  <si>
    <t>Ts(10-90)</t>
  </si>
  <si>
    <t>Power Budget P=</t>
  </si>
  <si>
    <t>and</t>
  </si>
  <si>
    <t>graph</t>
  </si>
  <si>
    <t>Wavelength  Uc</t>
  </si>
  <si>
    <t>Fiber</t>
  </si>
  <si>
    <t>Attenuation=</t>
  </si>
  <si>
    <t>dB/km</t>
  </si>
  <si>
    <t>at</t>
  </si>
  <si>
    <t>Effective Rate</t>
  </si>
  <si>
    <t>Connections C</t>
  </si>
  <si>
    <t>P_BLW(no ISI)</t>
  </si>
  <si>
    <t>RMS Baseline wander SD</t>
  </si>
  <si>
    <t>ps/nm^2*km</t>
  </si>
  <si>
    <t>Answer!</t>
  </si>
  <si>
    <t>Test Tx</t>
  </si>
  <si>
    <t>1310nm serial</t>
  </si>
  <si>
    <t>Effective Rec Eye</t>
  </si>
  <si>
    <t>This file</t>
  </si>
  <si>
    <t>dB at</t>
  </si>
  <si>
    <t>Test Source ER pen.</t>
  </si>
  <si>
    <t>T</t>
  </si>
  <si>
    <t>arg 1</t>
  </si>
  <si>
    <t>arg 2</t>
  </si>
  <si>
    <t>erf 1</t>
  </si>
  <si>
    <t>erf 2</t>
  </si>
  <si>
    <t>oio</t>
  </si>
  <si>
    <t>Tstep</t>
  </si>
  <si>
    <t>erf1'</t>
  </si>
  <si>
    <t>erf2'</t>
  </si>
  <si>
    <t>ioi</t>
  </si>
  <si>
    <t>One bit L</t>
  </si>
  <si>
    <t>1 bit R</t>
  </si>
  <si>
    <t>speedup</t>
  </si>
  <si>
    <t>Teff</t>
  </si>
  <si>
    <t>Eye mask</t>
  </si>
  <si>
    <t>Jitter</t>
  </si>
  <si>
    <t>Early</t>
  </si>
  <si>
    <t>Late</t>
  </si>
  <si>
    <t>To switch polarisation Mode Dispersion off,</t>
  </si>
  <si>
    <t>ModalNoisePen</t>
  </si>
  <si>
    <t>&lt;- This revision number refers to the PMD numbers</t>
  </si>
  <si>
    <t>To be filed at:</t>
  </si>
  <si>
    <t>Corrections to February 1550 nm page:</t>
  </si>
  <si>
    <t>"Worst" dispersion is for dispersion min. at shortest wavelength</t>
  </si>
  <si>
    <t>Receiver (minimum) bandwidth corrected from 9500 to 7725 MHz</t>
  </si>
  <si>
    <t>Changes over 3pmd046.xls of 6 July 2000:</t>
  </si>
  <si>
    <t>1550 nm powers raised by 2 dB</t>
  </si>
  <si>
    <t>OMA definitions of Tx power and RIN added</t>
  </si>
  <si>
    <t>PMD accounted for</t>
  </si>
  <si>
    <t>Changes over 3pmd048PMD_OMA.xls of 13 Dec. 2000:</t>
  </si>
  <si>
    <t>850 serial sheets added</t>
  </si>
  <si>
    <t>Example LW4 (1300nm WWDM, WAN PHY) sheet added</t>
  </si>
  <si>
    <t>This version prepared by Piers Dawe, 850 input from Jack Jewell</t>
  </si>
  <si>
    <t>Based on updated Gigabit Ethernet Spreadsheet as detailed below</t>
  </si>
  <si>
    <t>Change history</t>
  </si>
  <si>
    <t>&lt;- This rev. number for model &amp; spreadsheet structure &amp; presentation</t>
  </si>
  <si>
    <t>Modifications over the IEEE 802.3z link model spreadsheet,</t>
  </si>
  <si>
    <t>http://grouper.ieee.org/groups/802/3/10G_study/public/email_attach/All_1250.xls</t>
  </si>
  <si>
    <t>which is documented in</t>
  </si>
  <si>
    <t>http://www.ieee802.org/3/z/public/presentations/mar1997/DCwpaper.pdf</t>
  </si>
  <si>
    <t>*</t>
  </si>
  <si>
    <t>"Back-to-back" line added showing case of 2m fibre, low RIN source with rise time as specified</t>
  </si>
  <si>
    <t>Baseline wander formulae included, assuming low-overhead scrambled coding e.g. SONET or 64B66B</t>
  </si>
  <si>
    <t xml:space="preserve">    Input parameter "RMS baseline wander" is like a signal/noise ratio: Standard dev/(eye height * 0.5)</t>
  </si>
  <si>
    <t xml:space="preserve">    P_BLW(no ISI) is the effect of baseline wander assuming ample bandwidth in transmitter and receiver, no fibre</t>
  </si>
  <si>
    <t xml:space="preserve">    P_BLW is the effect of baseline wander assuming fast transmitter, receiver bandwidth as specified, no fibre</t>
  </si>
  <si>
    <t xml:space="preserve">    The definition of "Power budget" (transmitted power - receiver sensitivity) already includes this effect.</t>
  </si>
  <si>
    <t xml:space="preserve">    Suggest reduce DCD_RJ if using BLW terms in low-overhead scenario</t>
  </si>
  <si>
    <t>Interaction between ISI, TP4 eye closure, RIN, MPN and baseline wander calculated</t>
  </si>
  <si>
    <t xml:space="preserve">    Pcross is the extra penalty caused by these interactions</t>
  </si>
  <si>
    <t>"New MMF" scenario added</t>
  </si>
  <si>
    <t>Attenuation specification at standard wavelength clarified</t>
  </si>
  <si>
    <t>Margin at target reach calculated</t>
  </si>
  <si>
    <t>Modifications over IEEE 802.3ae link model spreadsheet of March 2000,</t>
  </si>
  <si>
    <t>http://grouper.ieee.org/groups/802/3/10G_study/public/email_attach/All_1250v2.xls</t>
  </si>
  <si>
    <t>Bandwidth to risetime conversion factor for receiver corrected,</t>
  </si>
  <si>
    <t>GbE formula for ISI penalty replaced with self-consistent Gaussian approximation</t>
  </si>
  <si>
    <t>GbE formula for receiver eye penalty replaced with self-consistent Gaussian approximation</t>
  </si>
  <si>
    <t xml:space="preserve">62 MMF dispersion S0 at worst lambda0 corrected from 0.11 to 0.093 </t>
  </si>
  <si>
    <t>Receiver bandwidth to risetime conversion factor shown explicitly</t>
  </si>
  <si>
    <t>Column S, "P_C" replaced by single box, as not length dependent</t>
  </si>
  <si>
    <t>Modifications over version 2.3.4:</t>
  </si>
  <si>
    <t>Polarisation Mode Dispersion</t>
  </si>
  <si>
    <t>Extra input box E2, "PolMD DGDmax" to calculate polarisation mode dispersion for single mode fibre</t>
  </si>
  <si>
    <t>To use, enter the maximum DGD (differential group delay) at the target reach</t>
  </si>
  <si>
    <t>In SMF case, Effective fibre bandwidth Eff.BWm is taken from the above, overriding BWm input</t>
  </si>
  <si>
    <t>Fibre bandwidth assumed to be to -6dBe or -3 dBo point</t>
  </si>
  <si>
    <t>RIN(OMA) now distinguished from RIN, correcting an oversight</t>
  </si>
  <si>
    <t>Modifications over version 2.3.6:</t>
  </si>
  <si>
    <t>OMA</t>
  </si>
  <si>
    <t>Worst extinction ratio now calculated from TX OMA min and Pave max</t>
  </si>
  <si>
    <t>Columns P, "Per", Y, "penalty and Z, "penalty" no longer used.  Equivalent values in boxes Z5, Z1, Z4 are used instead</t>
  </si>
  <si>
    <t xml:space="preserve">  "Per", or "Net ExR pen" is used in Stressed receiver sensitivity column but no longer in Ptotal</t>
  </si>
  <si>
    <t>Note the necessary RIN values are now much more demanding</t>
  </si>
  <si>
    <t>MPN k factor now labelled MPN k(OMA) to make clear that it represents term related to signal/noise not carrier/noise in this model</t>
  </si>
  <si>
    <t>For typical high extinction measurements the difference would have been within the range of measured values</t>
  </si>
  <si>
    <t>Dispersion columns B ("D1", ps/(nm.km) ) and C ("D2", ps/(nm.km) ) replaced by D1.L (ps/nm) and D2.L (ps/nm)</t>
  </si>
  <si>
    <t>Quantity D1 is now held in box B3 and D2 in box Z4.  This change is purely presentational, to show channel dispersion</t>
  </si>
  <si>
    <t>FAQ and notes for use</t>
  </si>
  <si>
    <t>To switch Polarisation Mode Dispersion off, change box O1 from "SMF"</t>
  </si>
  <si>
    <t>This spreadsheet believed to work in Excel 97 and Excel 2000, maybe can be downsaved to Excel 4 with slight loss of formatting of charts</t>
  </si>
  <si>
    <t>If you see #NAME? in many cells, check you have the Analysis ToolPak loaded: Tools &gt; Add-Ins…</t>
  </si>
  <si>
    <t>BLW means baseline wander</t>
  </si>
  <si>
    <t>MN, Pmn are both Modal Noise penalty</t>
  </si>
  <si>
    <t>MPN is mode partition noise</t>
  </si>
  <si>
    <t>MPN k(OMA) is the "k factor" for MPN measured "on an OMA basis" i.e. with regard to the modulated light not the average light level</t>
  </si>
  <si>
    <t>Pwr.Bud.-Conn.Loss means Power Budget - Connector Loss</t>
  </si>
  <si>
    <t>"R. Eye" and TP4 eye opening" refer to a decision time window presently 0.25 UI long, rather than a decision instant</t>
  </si>
  <si>
    <t>Uc is the transmitter wavelength and Uo is the fibre dispersion minimum</t>
  </si>
  <si>
    <t>See</t>
  </si>
  <si>
    <t>Reflection noise formula is intended to follow Krister Fröjdh and Petar Pepeljugoski</t>
  </si>
  <si>
    <t>Because the noise is bounded and may be concentrated at extremes, I have treated it as a source of ISI not random noise</t>
  </si>
  <si>
    <t>Reflection noise factor of 0.6 introduced to avoid undue pessimism.  The value needs further consideration</t>
  </si>
  <si>
    <t>which has always been included in the Pisi (now Pisi') column</t>
  </si>
  <si>
    <t>Source spectral width reduced to 0.2 nm in line with draft 3.1</t>
  </si>
  <si>
    <t>Cell G11 predicts eye opening at Tx, allowing for risetime, DCD, DJ, RIN</t>
  </si>
  <si>
    <t>Tx mask</t>
  </si>
  <si>
    <t>X1=</t>
  </si>
  <si>
    <t>X2=</t>
  </si>
  <si>
    <t>Y1=</t>
  </si>
  <si>
    <t>P Eye</t>
  </si>
  <si>
    <t>There are two new jitter penalty columns, calculating DJ penalty at eye centre and at eye corners</t>
  </si>
  <si>
    <t>Somewhat confusingly, these do not include the DCD penalty,</t>
  </si>
  <si>
    <t>Column K, "P eye corners" should be the same as previous column "R.eye".</t>
  </si>
  <si>
    <t>This is because unless RIN is very large it has quite a small effect, being drowned by Rx noise</t>
  </si>
  <si>
    <t>A pictorial "noiseless eye mask" has been added</t>
  </si>
  <si>
    <t>Method of calculation of jitter penalty is just like the TP4 eye opening penalty calculation:</t>
  </si>
  <si>
    <t>work out eye height at an offset from centre of eye</t>
  </si>
  <si>
    <t>Draft standard demands 50% (Y1=0.25).  Assumes all BLW is from Rx.  This may not be true but it is the worst case split.</t>
  </si>
  <si>
    <t>Cell G11, Tx eye opening calculation, doesn't include reflection noise</t>
  </si>
  <si>
    <t>Inputs and outputs at top of model sheet re-arranged in groups: Tx, fiber, Rx and so on</t>
  </si>
  <si>
    <t>0.5 to 1.3 dB of jitter penalty found in fast, high jitter case, depending where Rx decision point is: central or at edge.</t>
  </si>
  <si>
    <t>To make spreadsheet easier to follow, now using some names: Q Pmn Vmn kRIN ER Uc SD_blw C_1 B_1</t>
  </si>
  <si>
    <t>Obviously the slow, low jitter case has more ISI but less jitter penalty</t>
  </si>
  <si>
    <t>850nm serial</t>
  </si>
  <si>
    <t>50MMF</t>
  </si>
  <si>
    <t>"Nominal Rx sensitivity" field added</t>
  </si>
  <si>
    <t>850 nm 500 MHz Km tab added</t>
  </si>
  <si>
    <t>Ts is 35 ps not previous 31.5 ps to align with D3.1</t>
  </si>
  <si>
    <t>Test Rx BW</t>
  </si>
  <si>
    <t>T_test_rx(10-90)</t>
  </si>
  <si>
    <t>Test Tc</t>
  </si>
  <si>
    <t>Test erf arg 1b</t>
  </si>
  <si>
    <t>Test erf arg 2b</t>
  </si>
  <si>
    <t>Test closed eye</t>
  </si>
  <si>
    <t>Vrin(2m test)</t>
  </si>
  <si>
    <t>Uw 0.4 nm, ExR 3 dB, OMA -3.6 dBm to align with D3.1</t>
  </si>
  <si>
    <t>TestERpen.</t>
  </si>
  <si>
    <t>Opening</t>
  </si>
  <si>
    <t>(=Tx eye)</t>
  </si>
  <si>
    <t>TP4 Eye</t>
  </si>
  <si>
    <t>reach</t>
  </si>
  <si>
    <t xml:space="preserve">at target </t>
  </si>
  <si>
    <t>Txvr/link</t>
  </si>
  <si>
    <t>test eye diagram generator</t>
  </si>
  <si>
    <t>3.6 dB ISI</t>
  </si>
  <si>
    <t>Eye is quoted in % of full height (calculating "eye margin" is too complicated)</t>
  </si>
  <si>
    <t>newMMF</t>
  </si>
  <si>
    <t>change box L2 from "SMF"</t>
  </si>
  <si>
    <t>1300nmWWDM</t>
  </si>
  <si>
    <t>Min. Tx power OMA=</t>
  </si>
  <si>
    <t>"standard wavelength" of 1310 nm rather than 1300 nm</t>
  </si>
  <si>
    <t>This change makes the Patt column show 5 dB attenuation at 10 km, 1310 nm, 0.5.dB/km nominal attenuation, as desired.</t>
  </si>
  <si>
    <t>Connections etc</t>
  </si>
  <si>
    <t>&lt;Ptotal</t>
  </si>
  <si>
    <t>Preflection</t>
  </si>
  <si>
    <t xml:space="preserve">&amp; Refl. </t>
  </si>
  <si>
    <t>Rx sens</t>
  </si>
  <si>
    <t>NomSens OMA</t>
  </si>
  <si>
    <t>test erf arg 1c</t>
  </si>
  <si>
    <t>test erf arg 2c</t>
  </si>
  <si>
    <t>test ISI(DJ)</t>
  </si>
  <si>
    <t>test ISI(DJ,RN2dB)</t>
  </si>
  <si>
    <t>Change of definition for Stressed receiver sensitivity</t>
  </si>
  <si>
    <t>To give the same margin in the stressed and unstressed receiver sensitivity,</t>
  </si>
  <si>
    <t>stressed Rx sens. is now calculated as:</t>
  </si>
  <si>
    <t>Vertical eye closure (ISI) and DJ penalties are not included: they are part of the stressed eye</t>
  </si>
  <si>
    <t>Effective RIN test ISI(DJ)</t>
  </si>
  <si>
    <t>the 3-dB optical bandwidth of a Gaussian filter  (0.1292/0.187)^2.</t>
  </si>
  <si>
    <t>Effect of RIN was probably still in error as integrated over {Tx and fibre} bandwidth Tc not fibre bandwidth Te alone: see below</t>
  </si>
  <si>
    <t>"Max ave. Tx power" renamed as "Worst" Tx power and reduced to give minimum extinction ratio of draft standard</t>
  </si>
  <si>
    <t>Any sinusoidal jitter is included in the DJ</t>
  </si>
  <si>
    <t>By theory, it should be about 0.74 = 1/sqrt(2) * factor of 1.05 for the difference between noise bandwidth and the measure used here</t>
  </si>
  <si>
    <t>In the RIN variance bandwidth calculation, the prefix 0.477 in front of the 1/($T$5)^2 is</t>
  </si>
  <si>
    <t>the squared ratio between the 3-dB electrical bandwidth of a Raised Cosine filter and</t>
  </si>
  <si>
    <t>3.6 dB ISI limit shown on eye</t>
  </si>
  <si>
    <t>Baseline wander is treated as the receiver's problem</t>
  </si>
  <si>
    <t>Tx OMA - Total attenuation - penalties for MPN, RIN, RN, MN - (margin calculated at target reach)</t>
  </si>
  <si>
    <t>Layout improvements to improve ease of use</t>
  </si>
  <si>
    <t>Format and appearance</t>
  </si>
  <si>
    <t>"System level" model, focus on TP3 not TP4</t>
  </si>
  <si>
    <t>Most optical powers on OMA basis</t>
  </si>
  <si>
    <t>Includes reflection noise (interferometric noise)</t>
  </si>
  <si>
    <t xml:space="preserve">Added a deterministic jitter input and reduced "TP4" to 0.2 UI (eye length at 10G: was 0.25 UI at 1 G) </t>
  </si>
  <si>
    <t>TP4 is stll mentioned, and some penalties are calculated at eye corners, but these are not used in the overall margin result</t>
  </si>
  <si>
    <t>Modal noise treated like other signal-borne noises</t>
  </si>
  <si>
    <t>Modal noise is now an input to Pcross to allow for nonlinear addition with other random noise penalties</t>
  </si>
  <si>
    <t>The 14 ps value is my guess: needs confirmation by WWDM team</t>
  </si>
  <si>
    <t>DCD values are now for TP3 (6, 7.7 or 14 ps) rather than TP4 (8, 9.7 or 20.5 ps).</t>
  </si>
  <si>
    <t>Separate test receiver, "product" receiver and RIN test receiver bandwidths</t>
  </si>
  <si>
    <t>Boxes T5, W5, W6.  Test receiver is used for eye mask.</t>
  </si>
  <si>
    <t>Case by case changes to follow changes up to 802.3ae D3.1 and serial track comment resolution thereof</t>
  </si>
  <si>
    <t>DJ, RIN12OMA revised to D3.1 values</t>
  </si>
  <si>
    <t>All</t>
  </si>
  <si>
    <t>"Tx mask top" and "TP4 eye" (formerly "Rec Eye" and "Effective Rec Eye") now 0.2 UI not 0.25 UI</t>
  </si>
  <si>
    <t>SR/SW</t>
  </si>
  <si>
    <t>"Product" receiver bandwidth is not subject to specification</t>
  </si>
  <si>
    <t xml:space="preserve">Stressed Rx sensitivity and all penalties now calculated on a "system spec" basis, i.e at eye centre: </t>
  </si>
  <si>
    <t>Revision to RIN penalty</t>
  </si>
  <si>
    <t>Changed RIN bandwidth calculation to not include effect of laser driver, which is upstream of source of RIN</t>
  </si>
  <si>
    <t>Minor bug fix to attenuation formula</t>
  </si>
  <si>
    <t>C_att formula in SMF pages now uses constant 1.4846 dB/km, representing</t>
  </si>
  <si>
    <t>the penalty goes up as ISI increases</t>
  </si>
  <si>
    <t>Now the RIN variance still goes down with length or reduced bandwidth (ISI) but, like baseline wander,</t>
  </si>
  <si>
    <t>Signal to Noise ratio at TP4 caused by RIN is ISI-reduced eye opening / bandwidth-filtered noise.  The ISI part had been forgotten.</t>
  </si>
  <si>
    <t>Revisions 22 June to 9 Aug 01</t>
  </si>
  <si>
    <t>To avoid over-pessimism, calculation allows for reduction of signal by the</t>
  </si>
  <si>
    <t>RIN measurement bandwidth specified, with mixed pattern.</t>
  </si>
  <si>
    <t>http://www.ieee802.org/3/ae/public/adhoc/serial_pmd/documents/</t>
  </si>
  <si>
    <t>1310 serial</t>
  </si>
  <si>
    <t>1300 WWDM</t>
  </si>
  <si>
    <t>at the eye corners the total penalty (Ptot corners) is flat with DJ/rise trade off.</t>
  </si>
  <si>
    <t>Outside of the 0.2 UI window, the trade-off is reversed.</t>
  </si>
  <si>
    <t>To find the "worst case" that passes the eye mask, adjust Ts, DJ and RIN to get eye height of 50%</t>
  </si>
  <si>
    <t>DJ values included</t>
  </si>
  <si>
    <t>Reflection noise included</t>
  </si>
  <si>
    <t>Minimum wavelength reduced to 1269 nm, reflection noise included</t>
  </si>
  <si>
    <t>Disp.  D1=</t>
  </si>
  <si>
    <t>Disp.  So=</t>
  </si>
  <si>
    <t>ps TP3</t>
  </si>
  <si>
    <t>ERF arg 1</t>
  </si>
  <si>
    <t>ERF arg 2</t>
  </si>
  <si>
    <t>For stressed eye</t>
  </si>
  <si>
    <t>V.E.C.P.</t>
  </si>
  <si>
    <t>Net Ext R pen Per</t>
  </si>
  <si>
    <t>Stressed test "Vertical eye closure penalty" calculated (V.E.C.P.)</t>
  </si>
  <si>
    <t>At 1550 nm, the user also has to ensure that box W11, "Vertical eye closure penalty", is &lt;3 dB.</t>
  </si>
  <si>
    <t>I believe that VECP is precisely the same as Clause 52's transmitter and dispersion penalty (TDP)</t>
  </si>
  <si>
    <t>rel. variance into test Rx</t>
  </si>
  <si>
    <t>Correction to Vrin(2m test), in line with other Vrin but uses bandwidth of test Rx</t>
  </si>
  <si>
    <t>may be without RIN but with more DJ or slower risetime</t>
  </si>
  <si>
    <t>The worst case margin may be with maximum RIN and an eye just 50% high (just meets the mask), BUT</t>
  </si>
  <si>
    <t>Modifications over version 3.1.10</t>
  </si>
  <si>
    <t>Eye height calculation now uses Tx mask top not TP4 eye as input: no difference seen as numbers were the same</t>
  </si>
  <si>
    <t>Stressed sensitivity power now allows for half of Pcross, as both transmitter and receiver contribute to it</t>
  </si>
  <si>
    <t>1310 and 1550 serial pages have rise times chosen to meet spec criteria (eye, VECP)</t>
  </si>
  <si>
    <t>Correction to RIN element of test eye opening calculation</t>
  </si>
  <si>
    <t>The calculated worst case at eye centre is with low DJ and slow risetime, but</t>
  </si>
  <si>
    <t>So "which is worst in real life" will depend on receiver eye centring and tolerance to jitter</t>
  </si>
  <si>
    <t>No change to numbers but makes it easier to do triple trade off calculations</t>
  </si>
  <si>
    <t>Nom. Rx sensitivity is now an input, Power budget P is derived from this.</t>
  </si>
  <si>
    <t>1310 serial's minimum wavelength reduced from 1265 to 1260 nm</t>
  </si>
  <si>
    <t>850 nm RIN values chosen to give 0 eye margin.</t>
  </si>
  <si>
    <t>Updated 1550 nm Rx nom. sensitivity from -16.39 to -15.39 following D3.2</t>
  </si>
  <si>
    <t>850 nm additional insertion losses revised following D3.2</t>
  </si>
  <si>
    <t>Updated 1310 nm Rx nom. sensitivity to -13.23 following D3.3</t>
  </si>
  <si>
    <t>62MMF</t>
  </si>
  <si>
    <t>Modifications over version 3.1.14 (in red)</t>
  </si>
  <si>
    <t>Correction to stressed receive sensitivity where modal noise had been double counted</t>
  </si>
  <si>
    <t>MPN k factor reduced to 0.3 (850 nm), 0.5 nm (LX4, 1300 nm WWDM)</t>
  </si>
  <si>
    <t>3.2/3</t>
  </si>
  <si>
    <t>Factor x Vrin used in eye mask calculation changed from 3 to 2.519/Swing representing 1 in 200</t>
  </si>
  <si>
    <t>Effective RIN test ISI factor set to 1 representing choice of (slow) square wave in RIN measurement</t>
  </si>
  <si>
    <t>RINxOMA changed to 130 dB/Hz for all serial cases</t>
  </si>
  <si>
    <t>Date of file</t>
  </si>
  <si>
    <t>1550nm 30 km</t>
  </si>
  <si>
    <t>1550nm 40 km</t>
  </si>
  <si>
    <t>Modifications over version 3.1.15 (in plum)</t>
  </si>
  <si>
    <t>LX4 parameter values updated and DJ reinstated</t>
  </si>
  <si>
    <t>10 km attenuation reduced to 0.4 dB/km</t>
  </si>
  <si>
    <t>DJ set equal to DCD in all cases: no additional DJ</t>
  </si>
  <si>
    <t>Sheets for 30 km and 40 km (engineered link) 1550 nm</t>
  </si>
  <si>
    <t>1550 rise times and spectral width chosen for zero Tx eye margin and 3 dB VECP over 40 km</t>
  </si>
  <si>
    <t>62.5um attenuation at 850 um changed (back) from 3.5 to 3.75 dB/km.  Negligible effect</t>
  </si>
  <si>
    <t>62.5um modal noise at 850 um changed (back) from 0.3 to 0.15 dB</t>
  </si>
  <si>
    <t>Disused cells relating to RIN test measurement bandwidth removed</t>
  </si>
  <si>
    <t>Clarification of "RMS width": see below</t>
  </si>
  <si>
    <t>Meaning of Uw (cell B7): Uw is the "rms spectral width"</t>
  </si>
  <si>
    <t>IEEE Draft P802.3ae/D3.3 clause 52 states: "RMS spectral width is the standard deviation of the spectrum."</t>
  </si>
  <si>
    <t>It will be apparent that this measure is a half width, not a full width</t>
  </si>
  <si>
    <t>Uw (see notes)</t>
  </si>
  <si>
    <t>ISI is Inter Symbol Interference.  This is calculated taking DCD into account</t>
  </si>
  <si>
    <t>http://www.ieee802.org/3/ae/public/oct01/dawe_1_1001.pdf</t>
  </si>
  <si>
    <t>Risetimes left as previously: chosen for worst eye or VECP variously high/low RIN</t>
  </si>
  <si>
    <t xml:space="preserve">     (as worst margin) for high DJ - then extra DJ turned off</t>
  </si>
  <si>
    <t>But see below</t>
  </si>
  <si>
    <t>Modifications over version 2.4.1 (in green):</t>
  </si>
  <si>
    <t>P_DJ is generally not used.  It is an estimate of the deterministic eye closure penalty caused by DJ additional to DCD</t>
  </si>
  <si>
    <t>V.E.C.P. is vertical eye closure penalty: synonymous with Pisi or (if used) Pisi + P_DJ)</t>
  </si>
  <si>
    <t>10GEPBud3_1_16a.xls</t>
  </si>
  <si>
    <t xml:space="preserve">  FAQ and user notes are after Change History.</t>
  </si>
  <si>
    <t>http://www.ieee802.org/3/efm/public/sep01/dawe_1_0901.pdf</t>
  </si>
  <si>
    <t>for introduction and references</t>
  </si>
  <si>
    <t>3.1.16a</t>
  </si>
  <si>
    <t>Name change to 3.1.16a to avoid possible confusion</t>
  </si>
  <si>
    <t>for an introduction and reference list</t>
  </si>
  <si>
    <t>Latest spec parameter values from D3.2 comment resolution (may be incomplete)</t>
  </si>
  <si>
    <t>for 10GE, receiver eye opening penalty is now an implementer issue not a standards one</t>
  </si>
  <si>
    <t>Accounts for deterministic jitter (not used in all examples)</t>
  </si>
  <si>
    <t>According to IEEE Std 802.3, 1.4.238, rms Spectral Width is the optical wavelength range as measured</t>
  </si>
  <si>
    <t>by ANSI/EIA/TIA 455-127-1991 (FOTP-127)</t>
  </si>
  <si>
    <t>850 nm triple trade off pivot point changed to 0.29 nm, 7.3 dB budget on 2000 MHz.km fibre per resolution</t>
  </si>
  <si>
    <t xml:space="preserve"> to D3.2 comment 190 </t>
  </si>
  <si>
    <t>Simplification of stressed receive sensitivity in agreement with</t>
  </si>
  <si>
    <t>This spreadsheet aims to represent the optoelectronics in 802.3ae draft 3.2/3.3</t>
  </si>
  <si>
    <t xml:space="preserve"> </t>
  </si>
  <si>
    <t>br_nominal</t>
  </si>
  <si>
    <t>ber target</t>
  </si>
  <si>
    <t>fiber conn loss</t>
  </si>
  <si>
    <t>l target</t>
  </si>
  <si>
    <t>l_start</t>
  </si>
  <si>
    <t>l_inc</t>
  </si>
  <si>
    <t>dj</t>
  </si>
  <si>
    <t>dcd_dj</t>
  </si>
  <si>
    <t>tx_oma_min</t>
  </si>
  <si>
    <t>er_dB_min</t>
  </si>
  <si>
    <t>tx_2080_rise</t>
  </si>
  <si>
    <t>lambda_min</t>
  </si>
  <si>
    <t>delta_lambda</t>
  </si>
  <si>
    <t>tx_reflection</t>
  </si>
  <si>
    <t>rin</t>
  </si>
  <si>
    <t>rin_test_isi</t>
  </si>
  <si>
    <t>txeye_rx_bw</t>
  </si>
  <si>
    <t>X1</t>
  </si>
  <si>
    <t>X2</t>
  </si>
  <si>
    <t>Y1</t>
  </si>
  <si>
    <t>rx_unstressed_sensitivity</t>
  </si>
  <si>
    <t>rx_bw</t>
  </si>
  <si>
    <t>rx_reflection</t>
  </si>
  <si>
    <t>fiber_c_atten</t>
  </si>
  <si>
    <t>fiber_s0</t>
  </si>
  <si>
    <t>fiber_u0</t>
  </si>
  <si>
    <t>fib_lbwp</t>
  </si>
  <si>
    <t>pmn</t>
  </si>
  <si>
    <t>ref_nf</t>
  </si>
  <si>
    <t>k_mpn</t>
  </si>
  <si>
    <t>sigma_blw</t>
  </si>
  <si>
    <t>eye_time_low</t>
  </si>
  <si>
    <t>eye_time_high</t>
  </si>
  <si>
    <t>eye_time_step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</si>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</sst>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8" formatCode="0.0"/>
    <numFmt numFmtId="179" formatCode="0.000"/>
    <numFmt numFmtId="181" formatCode="0.0E+00"/>
    <numFmt numFmtId="183" formatCode="###0.0##"/>
    <numFmt numFmtId="185" formatCode="0.##"/>
    <numFmt numFmtId="186" formatCode="0.00#"/>
    <numFmt numFmtId="187" formatCode="0.0%"/>
    <numFmt numFmtId="189" formatCode="0.0000"/>
    <numFmt numFmtId="195" formatCode="0.00000"/>
    <numFmt numFmtId="197" formatCode="###0.0#"/>
    <numFmt numFmtId="206" formatCode="0E+00"/>
    <numFmt numFmtId="209" formatCode="\+#0.00;\-#0.00"/>
    <numFmt numFmtId="211" formatCode="0.##E+0"/>
  </numFmts>
  <fonts count="5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1"/>
      <name val="Arial"/>
    </font>
    <font>
      <sz val="12"/>
      <name val="Arial"/>
    </font>
    <font>
      <sz val="12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1"/>
      <color indexed="14"/>
      <name val="Arial"/>
      <family val="2"/>
    </font>
    <font>
      <sz val="11"/>
      <color indexed="8"/>
      <name val="Arial"/>
    </font>
    <font>
      <sz val="11"/>
      <name val="Arial"/>
      <family val="2"/>
    </font>
    <font>
      <b/>
      <sz val="12"/>
      <color indexed="8"/>
      <name val="Arial"/>
      <family val="2"/>
    </font>
    <font>
      <sz val="11"/>
      <color indexed="23"/>
      <name val="Arial"/>
      <family val="2"/>
    </font>
    <font>
      <sz val="12"/>
      <color indexed="23"/>
      <name val="Arial"/>
      <family val="2"/>
    </font>
    <font>
      <sz val="12"/>
      <color indexed="14"/>
      <name val="Arial"/>
      <family val="2"/>
    </font>
    <font>
      <b/>
      <sz val="12"/>
      <color indexed="23"/>
      <name val="Arial"/>
      <family val="2"/>
    </font>
    <font>
      <b/>
      <sz val="12"/>
      <name val="Arial"/>
      <family val="2"/>
    </font>
    <font>
      <sz val="11"/>
      <color indexed="55"/>
      <name val="Arial"/>
      <family val="2"/>
    </font>
    <font>
      <vertAlign val="subscript"/>
      <sz val="12"/>
      <color indexed="23"/>
      <name val="Arial"/>
      <family val="2"/>
    </font>
    <font>
      <sz val="12"/>
      <color indexed="10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55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indexed="55"/>
      <name val="Arial"/>
      <family val="2"/>
    </font>
    <font>
      <u/>
      <sz val="12"/>
      <color indexed="12"/>
      <name val="Arial"/>
      <family val="2"/>
    </font>
    <font>
      <b/>
      <sz val="11"/>
      <color indexed="10"/>
      <name val="Arial"/>
    </font>
    <font>
      <i/>
      <sz val="12"/>
      <name val="Arial"/>
      <family val="2"/>
    </font>
    <font>
      <i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1"/>
      <color indexed="17"/>
      <name val="Arial"/>
      <family val="2"/>
    </font>
    <font>
      <sz val="12"/>
      <color indexed="17"/>
      <name val="Arial"/>
      <family val="2"/>
    </font>
    <font>
      <b/>
      <sz val="12"/>
      <color indexed="17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2"/>
      <color indexed="1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61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sz val="12"/>
      <color indexed="61"/>
      <name val="Arial"/>
      <family val="2"/>
    </font>
    <font>
      <sz val="11"/>
      <color indexed="61"/>
      <name val="Arial"/>
      <family val="2"/>
    </font>
    <font>
      <u/>
      <sz val="12"/>
      <color indexed="17"/>
      <name val="Arial"/>
      <family val="2"/>
    </font>
    <font>
      <b/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492">
    <xf numFmtId="0" fontId="0" fillId="0" borderId="0" xfId="0"/>
    <xf numFmtId="0" fontId="5" fillId="0" borderId="1" xfId="2" applyFont="1" applyBorder="1" applyAlignment="1">
      <alignment horizontal="left"/>
    </xf>
    <xf numFmtId="0" fontId="5" fillId="0" borderId="2" xfId="2" applyFont="1" applyBorder="1" applyAlignment="1"/>
    <xf numFmtId="0" fontId="6" fillId="0" borderId="2" xfId="2" applyNumberFormat="1" applyFont="1" applyBorder="1" applyAlignment="1" applyProtection="1">
      <protection locked="0"/>
    </xf>
    <xf numFmtId="15" fontId="5" fillId="0" borderId="1" xfId="2" applyNumberFormat="1" applyFont="1" applyBorder="1" applyAlignment="1">
      <alignment horizontal="right"/>
    </xf>
    <xf numFmtId="0" fontId="6" fillId="0" borderId="3" xfId="2" applyNumberFormat="1" applyFont="1" applyBorder="1" applyAlignment="1" applyProtection="1">
      <protection locked="0"/>
    </xf>
    <xf numFmtId="2" fontId="5" fillId="0" borderId="3" xfId="2" applyNumberFormat="1" applyFont="1" applyBorder="1" applyAlignment="1">
      <alignment horizontal="right"/>
    </xf>
    <xf numFmtId="0" fontId="6" fillId="0" borderId="0" xfId="2" applyNumberFormat="1" applyFont="1" applyBorder="1" applyAlignment="1" applyProtection="1">
      <protection locked="0"/>
    </xf>
    <xf numFmtId="0" fontId="5" fillId="0" borderId="0" xfId="2" applyFont="1" applyBorder="1" applyAlignment="1"/>
    <xf numFmtId="0" fontId="3" fillId="0" borderId="0" xfId="2" applyNumberFormat="1" applyFont="1" applyBorder="1" applyAlignment="1" applyProtection="1">
      <protection locked="0"/>
    </xf>
    <xf numFmtId="1" fontId="5" fillId="0" borderId="0" xfId="2" applyNumberFormat="1" applyFont="1" applyBorder="1" applyAlignment="1"/>
    <xf numFmtId="0" fontId="6" fillId="0" borderId="4" xfId="2" applyNumberFormat="1" applyFont="1" applyBorder="1" applyAlignment="1" applyProtection="1">
      <protection locked="0"/>
    </xf>
    <xf numFmtId="2" fontId="7" fillId="0" borderId="5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3" fillId="0" borderId="0" xfId="2" applyNumberFormat="1" applyFont="1" applyAlignment="1" applyProtection="1">
      <protection locked="0"/>
    </xf>
    <xf numFmtId="0" fontId="9" fillId="0" borderId="0" xfId="2" applyFont="1" applyAlignment="1"/>
    <xf numFmtId="2" fontId="5" fillId="0" borderId="0" xfId="2" applyNumberFormat="1" applyFont="1" applyBorder="1" applyAlignment="1"/>
    <xf numFmtId="2" fontId="11" fillId="0" borderId="0" xfId="2" applyNumberFormat="1" applyFont="1" applyBorder="1" applyAlignment="1"/>
    <xf numFmtId="0" fontId="12" fillId="0" borderId="0" xfId="2" applyNumberFormat="1" applyFont="1" applyAlignment="1" applyProtection="1">
      <protection locked="0"/>
    </xf>
    <xf numFmtId="2" fontId="5" fillId="2" borderId="0" xfId="2" applyNumberFormat="1" applyFont="1" applyFill="1" applyBorder="1" applyAlignment="1"/>
    <xf numFmtId="0" fontId="3" fillId="0" borderId="0" xfId="2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0" fontId="15" fillId="0" borderId="0" xfId="2" applyNumberFormat="1" applyFont="1" applyBorder="1" applyAlignment="1"/>
    <xf numFmtId="2" fontId="13" fillId="0" borderId="0" xfId="2" applyNumberFormat="1" applyFont="1" applyBorder="1" applyAlignment="1" applyProtection="1">
      <protection locked="0"/>
    </xf>
    <xf numFmtId="0" fontId="12" fillId="0" borderId="0" xfId="2" applyNumberFormat="1" applyFont="1" applyBorder="1" applyAlignment="1" applyProtection="1">
      <protection locked="0"/>
    </xf>
    <xf numFmtId="0" fontId="7" fillId="0" borderId="0" xfId="2" applyFont="1" applyBorder="1" applyAlignment="1">
      <alignment horizontal="right"/>
    </xf>
    <xf numFmtId="0" fontId="10" fillId="0" borderId="0" xfId="2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Border="1" applyAlignment="1" applyProtection="1">
      <protection locked="0"/>
    </xf>
    <xf numFmtId="0" fontId="12" fillId="0" borderId="0" xfId="2" applyFont="1" applyAlignment="1">
      <alignment horizontal="center"/>
    </xf>
    <xf numFmtId="0" fontId="3" fillId="0" borderId="5" xfId="2" applyNumberFormat="1" applyFont="1" applyBorder="1" applyAlignment="1" applyProtection="1">
      <protection locked="0"/>
    </xf>
    <xf numFmtId="2" fontId="5" fillId="2" borderId="5" xfId="2" applyNumberFormat="1" applyFont="1" applyFill="1" applyBorder="1" applyAlignment="1"/>
    <xf numFmtId="2" fontId="5" fillId="0" borderId="5" xfId="2" applyNumberFormat="1" applyFont="1" applyBorder="1" applyAlignment="1"/>
    <xf numFmtId="2" fontId="7" fillId="0" borderId="0" xfId="2" applyNumberFormat="1" applyFont="1" applyBorder="1" applyAlignment="1">
      <alignment horizontal="center"/>
    </xf>
    <xf numFmtId="178" fontId="9" fillId="0" borderId="0" xfId="2" applyNumberFormat="1" applyFont="1" applyBorder="1" applyAlignment="1">
      <alignment horizontal="center"/>
    </xf>
    <xf numFmtId="0" fontId="12" fillId="0" borderId="0" xfId="2" applyFont="1" applyBorder="1" applyAlignment="1">
      <alignment horizontal="right"/>
    </xf>
    <xf numFmtId="0" fontId="13" fillId="0" borderId="0" xfId="2" applyNumberFormat="1" applyFont="1" applyBorder="1" applyAlignment="1">
      <alignment horizontal="right"/>
    </xf>
    <xf numFmtId="0" fontId="9" fillId="0" borderId="5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7" fillId="0" borderId="5" xfId="2" applyNumberFormat="1" applyFont="1" applyBorder="1" applyAlignment="1" applyProtection="1">
      <protection locked="0"/>
    </xf>
    <xf numFmtId="0" fontId="17" fillId="0" borderId="5" xfId="2" applyFont="1" applyBorder="1" applyAlignment="1"/>
    <xf numFmtId="0" fontId="12" fillId="0" borderId="5" xfId="2" applyFont="1" applyBorder="1" applyAlignment="1">
      <alignment horizontal="right"/>
    </xf>
    <xf numFmtId="0" fontId="12" fillId="0" borderId="5" xfId="2" applyNumberFormat="1" applyFont="1" applyBorder="1" applyAlignment="1">
      <alignment horizontal="right"/>
    </xf>
    <xf numFmtId="179" fontId="5" fillId="0" borderId="6" xfId="2" applyNumberFormat="1" applyFont="1" applyBorder="1" applyAlignment="1">
      <alignment horizontal="center"/>
    </xf>
    <xf numFmtId="2" fontId="5" fillId="0" borderId="2" xfId="2" applyNumberFormat="1" applyFont="1" applyBorder="1" applyAlignment="1"/>
    <xf numFmtId="2" fontId="5" fillId="0" borderId="2" xfId="2" applyNumberFormat="1" applyFont="1" applyBorder="1" applyAlignment="1">
      <alignment horizontal="center"/>
    </xf>
    <xf numFmtId="181" fontId="5" fillId="0" borderId="2" xfId="2" applyNumberFormat="1" applyFont="1" applyBorder="1" applyAlignment="1">
      <alignment horizontal="center"/>
    </xf>
    <xf numFmtId="1" fontId="5" fillId="0" borderId="2" xfId="2" applyNumberFormat="1" applyFont="1" applyBorder="1" applyAlignment="1">
      <alignment horizontal="center"/>
    </xf>
    <xf numFmtId="2" fontId="13" fillId="0" borderId="2" xfId="2" applyNumberFormat="1" applyFont="1" applyBorder="1" applyAlignment="1"/>
    <xf numFmtId="0" fontId="5" fillId="0" borderId="2" xfId="2" applyFont="1" applyBorder="1" applyAlignment="1">
      <alignment horizontal="center"/>
    </xf>
    <xf numFmtId="2" fontId="13" fillId="0" borderId="2" xfId="2" applyNumberFormat="1" applyFont="1" applyBorder="1" applyAlignment="1">
      <alignment horizontal="right"/>
    </xf>
    <xf numFmtId="2" fontId="13" fillId="0" borderId="2" xfId="2" applyNumberFormat="1" applyFont="1" applyBorder="1" applyAlignment="1" applyProtection="1">
      <protection locked="0"/>
    </xf>
    <xf numFmtId="186" fontId="11" fillId="0" borderId="7" xfId="2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1" fontId="11" fillId="0" borderId="0" xfId="2" applyNumberFormat="1" applyFont="1" applyBorder="1" applyAlignment="1">
      <alignment horizontal="center"/>
    </xf>
    <xf numFmtId="2" fontId="15" fillId="0" borderId="0" xfId="2" applyNumberFormat="1" applyFont="1" applyBorder="1" applyAlignment="1"/>
    <xf numFmtId="2" fontId="11" fillId="0" borderId="0" xfId="2" applyNumberFormat="1" applyFont="1" applyAlignment="1"/>
    <xf numFmtId="0" fontId="11" fillId="0" borderId="0" xfId="2" applyFont="1" applyBorder="1" applyAlignment="1">
      <alignment horizontal="center"/>
    </xf>
    <xf numFmtId="185" fontId="25" fillId="0" borderId="0" xfId="2" applyNumberFormat="1" applyFont="1" applyAlignment="1"/>
    <xf numFmtId="2" fontId="15" fillId="0" borderId="0" xfId="2" applyNumberFormat="1" applyFont="1" applyAlignment="1"/>
    <xf numFmtId="2" fontId="15" fillId="0" borderId="0" xfId="2" applyNumberFormat="1" applyFont="1" applyAlignment="1">
      <alignment horizontal="right"/>
    </xf>
    <xf numFmtId="2" fontId="15" fillId="0" borderId="0" xfId="2" applyNumberFormat="1" applyFont="1" applyBorder="1" applyAlignment="1" applyProtection="1">
      <protection locked="0"/>
    </xf>
    <xf numFmtId="0" fontId="16" fillId="0" borderId="0" xfId="2" applyNumberFormat="1" applyFont="1" applyAlignment="1" applyProtection="1">
      <protection locked="0"/>
    </xf>
    <xf numFmtId="186" fontId="5" fillId="0" borderId="7" xfId="2" applyNumberFormat="1" applyFont="1" applyBorder="1" applyAlignment="1">
      <alignment horizontal="center"/>
    </xf>
    <xf numFmtId="2" fontId="5" fillId="0" borderId="0" xfId="2" applyNumberFormat="1" applyFont="1" applyBorder="1" applyAlignment="1">
      <alignment horizontal="center"/>
    </xf>
    <xf numFmtId="3" fontId="5" fillId="0" borderId="0" xfId="2" applyNumberFormat="1" applyFont="1" applyBorder="1" applyAlignment="1">
      <alignment horizontal="center"/>
    </xf>
    <xf numFmtId="1" fontId="5" fillId="0" borderId="0" xfId="2" applyNumberFormat="1" applyFont="1" applyBorder="1" applyAlignment="1">
      <alignment horizontal="center"/>
    </xf>
    <xf numFmtId="0" fontId="14" fillId="0" borderId="0" xfId="2" applyNumberFormat="1" applyFont="1" applyAlignment="1" applyProtection="1">
      <protection locked="0"/>
    </xf>
    <xf numFmtId="2" fontId="13" fillId="0" borderId="0" xfId="2" applyNumberFormat="1" applyFont="1" applyBorder="1" applyAlignment="1"/>
    <xf numFmtId="2" fontId="5" fillId="0" borderId="0" xfId="2" applyNumberFormat="1" applyFont="1" applyAlignment="1"/>
    <xf numFmtId="0" fontId="5" fillId="0" borderId="0" xfId="2" applyFont="1" applyBorder="1" applyAlignment="1">
      <alignment horizontal="center"/>
    </xf>
    <xf numFmtId="185" fontId="22" fillId="0" borderId="0" xfId="2" applyNumberFormat="1" applyFont="1" applyAlignment="1"/>
    <xf numFmtId="2" fontId="13" fillId="0" borderId="0" xfId="2" applyNumberFormat="1" applyFont="1" applyAlignment="1"/>
    <xf numFmtId="2" fontId="13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protection locked="0"/>
    </xf>
    <xf numFmtId="186" fontId="11" fillId="0" borderId="8" xfId="2" applyNumberFormat="1" applyFont="1" applyBorder="1" applyAlignment="1">
      <alignment horizontal="center"/>
    </xf>
    <xf numFmtId="2" fontId="11" fillId="0" borderId="5" xfId="2" applyNumberFormat="1" applyFont="1" applyBorder="1" applyAlignment="1">
      <alignment horizontal="center"/>
    </xf>
    <xf numFmtId="3" fontId="11" fillId="0" borderId="5" xfId="2" applyNumberFormat="1" applyFont="1" applyBorder="1" applyAlignment="1">
      <alignment horizontal="center"/>
    </xf>
    <xf numFmtId="1" fontId="11" fillId="0" borderId="5" xfId="2" applyNumberFormat="1" applyFont="1" applyBorder="1" applyAlignment="1">
      <alignment horizontal="center"/>
    </xf>
    <xf numFmtId="2" fontId="11" fillId="0" borderId="5" xfId="2" applyNumberFormat="1" applyFont="1" applyBorder="1" applyAlignment="1"/>
    <xf numFmtId="2" fontId="15" fillId="0" borderId="5" xfId="2" applyNumberFormat="1" applyFont="1" applyBorder="1" applyAlignment="1"/>
    <xf numFmtId="0" fontId="11" fillId="0" borderId="5" xfId="2" applyFont="1" applyBorder="1" applyAlignment="1">
      <alignment horizontal="center"/>
    </xf>
    <xf numFmtId="185" fontId="25" fillId="0" borderId="5" xfId="2" applyNumberFormat="1" applyFont="1" applyBorder="1" applyAlignment="1"/>
    <xf numFmtId="2" fontId="15" fillId="0" borderId="5" xfId="2" applyNumberFormat="1" applyFont="1" applyBorder="1" applyAlignment="1">
      <alignment horizontal="right"/>
    </xf>
    <xf numFmtId="2" fontId="15" fillId="0" borderId="5" xfId="2" applyNumberFormat="1" applyFont="1" applyBorder="1" applyAlignment="1" applyProtection="1">
      <protection locked="0"/>
    </xf>
    <xf numFmtId="0" fontId="16" fillId="0" borderId="5" xfId="2" applyNumberFormat="1" applyFont="1" applyBorder="1" applyAlignment="1" applyProtection="1">
      <protection locked="0"/>
    </xf>
    <xf numFmtId="0" fontId="5" fillId="0" borderId="0" xfId="2" applyFont="1" applyAlignment="1"/>
    <xf numFmtId="2" fontId="5" fillId="0" borderId="0" xfId="2" applyNumberFormat="1" applyFont="1" applyFill="1" applyAlignment="1"/>
    <xf numFmtId="0" fontId="6" fillId="0" borderId="0" xfId="2" applyNumberFormat="1" applyFont="1" applyAlignment="1"/>
    <xf numFmtId="0" fontId="23" fillId="0" borderId="0" xfId="2" applyNumberFormat="1" applyFont="1" applyAlignment="1" applyProtection="1">
      <protection locked="0"/>
    </xf>
    <xf numFmtId="185" fontId="22" fillId="0" borderId="0" xfId="2" applyNumberFormat="1" applyFont="1" applyBorder="1" applyAlignment="1"/>
    <xf numFmtId="0" fontId="11" fillId="0" borderId="0" xfId="2" applyFont="1" applyAlignment="1"/>
    <xf numFmtId="2" fontId="26" fillId="0" borderId="0" xfId="1" applyNumberFormat="1" applyFont="1" applyAlignment="1" applyProtection="1"/>
    <xf numFmtId="0" fontId="6" fillId="0" borderId="0" xfId="0" applyFont="1" applyAlignment="1"/>
    <xf numFmtId="0" fontId="5" fillId="0" borderId="0" xfId="2" applyFont="1" applyAlignment="1">
      <alignment horizontal="right"/>
    </xf>
    <xf numFmtId="2" fontId="5" fillId="0" borderId="0" xfId="2" applyNumberFormat="1" applyFont="1" applyAlignment="1">
      <alignment horizontal="right"/>
    </xf>
    <xf numFmtId="0" fontId="6" fillId="0" borderId="0" xfId="2" applyNumberFormat="1" applyFont="1" applyAlignment="1" applyProtection="1">
      <alignment horizontal="center"/>
      <protection locked="0"/>
    </xf>
    <xf numFmtId="0" fontId="5" fillId="0" borderId="0" xfId="2" applyFont="1" applyAlignment="1">
      <alignment horizontal="center"/>
    </xf>
    <xf numFmtId="0" fontId="27" fillId="0" borderId="0" xfId="2" applyNumberFormat="1" applyFont="1" applyAlignment="1" applyProtection="1">
      <protection locked="0"/>
    </xf>
    <xf numFmtId="0" fontId="9" fillId="0" borderId="0" xfId="2" applyNumberFormat="1" applyFont="1" applyAlignment="1"/>
    <xf numFmtId="0" fontId="5" fillId="0" borderId="0" xfId="2" applyNumberFormat="1" applyFont="1" applyAlignment="1"/>
    <xf numFmtId="0" fontId="3" fillId="0" borderId="0" xfId="2" applyNumberFormat="1" applyFont="1" applyFill="1" applyAlignment="1" applyProtection="1">
      <protection locked="0"/>
    </xf>
    <xf numFmtId="0" fontId="6" fillId="0" borderId="2" xfId="0" quotePrefix="1" applyFont="1" applyBorder="1" applyAlignment="1">
      <alignment horizontal="center"/>
    </xf>
    <xf numFmtId="0" fontId="3" fillId="0" borderId="9" xfId="2" applyNumberFormat="1" applyFont="1" applyBorder="1" applyAlignment="1" applyProtection="1">
      <protection locked="0"/>
    </xf>
    <xf numFmtId="0" fontId="12" fillId="0" borderId="9" xfId="2" applyNumberFormat="1" applyFont="1" applyBorder="1" applyAlignment="1" applyProtection="1">
      <protection locked="0"/>
    </xf>
    <xf numFmtId="0" fontId="12" fillId="0" borderId="4" xfId="2" applyNumberFormat="1" applyFont="1" applyBorder="1" applyAlignment="1">
      <alignment horizontal="right"/>
    </xf>
    <xf numFmtId="0" fontId="6" fillId="0" borderId="0" xfId="2" quotePrefix="1" applyNumberFormat="1" applyFont="1" applyAlignment="1" applyProtection="1">
      <protection locked="0"/>
    </xf>
    <xf numFmtId="2" fontId="5" fillId="0" borderId="0" xfId="2" quotePrefix="1" applyNumberFormat="1" applyFont="1" applyAlignment="1"/>
    <xf numFmtId="0" fontId="3" fillId="0" borderId="10" xfId="2" applyNumberFormat="1" applyFont="1" applyBorder="1" applyAlignment="1" applyProtection="1">
      <protection locked="0"/>
    </xf>
    <xf numFmtId="2" fontId="8" fillId="0" borderId="10" xfId="2" applyNumberFormat="1" applyFont="1" applyBorder="1" applyAlignment="1"/>
    <xf numFmtId="0" fontId="6" fillId="0" borderId="5" xfId="2" applyNumberFormat="1" applyFont="1" applyBorder="1" applyAlignment="1" applyProtection="1">
      <protection locked="0"/>
    </xf>
    <xf numFmtId="178" fontId="5" fillId="0" borderId="0" xfId="2" applyNumberFormat="1" applyFont="1" applyBorder="1" applyAlignment="1"/>
    <xf numFmtId="0" fontId="11" fillId="0" borderId="3" xfId="2" applyFont="1" applyBorder="1" applyAlignment="1">
      <alignment horizontal="right"/>
    </xf>
    <xf numFmtId="0" fontId="11" fillId="0" borderId="0" xfId="2" applyNumberFormat="1" applyFont="1" applyBorder="1" applyAlignment="1"/>
    <xf numFmtId="197" fontId="11" fillId="0" borderId="0" xfId="2" applyNumberFormat="1" applyFont="1" applyFill="1" applyBorder="1" applyAlignment="1"/>
    <xf numFmtId="0" fontId="11" fillId="0" borderId="0" xfId="2" applyFont="1" applyBorder="1" applyAlignment="1"/>
    <xf numFmtId="0" fontId="11" fillId="0" borderId="0" xfId="2" applyFont="1" applyBorder="1" applyAlignment="1">
      <alignment horizontal="right"/>
    </xf>
    <xf numFmtId="2" fontId="5" fillId="0" borderId="0" xfId="2" applyNumberFormat="1" applyFont="1" applyBorder="1" applyAlignment="1">
      <alignment horizontal="right"/>
    </xf>
    <xf numFmtId="0" fontId="28" fillId="0" borderId="11" xfId="2" applyNumberFormat="1" applyFont="1" applyBorder="1" applyAlignment="1" applyProtection="1">
      <protection locked="0"/>
    </xf>
    <xf numFmtId="0" fontId="5" fillId="0" borderId="3" xfId="2" applyFont="1" applyBorder="1" applyAlignment="1">
      <alignment horizontal="right"/>
    </xf>
    <xf numFmtId="0" fontId="5" fillId="0" borderId="12" xfId="2" applyFont="1" applyBorder="1" applyAlignment="1"/>
    <xf numFmtId="0" fontId="6" fillId="0" borderId="9" xfId="2" applyNumberFormat="1" applyFont="1" applyBorder="1" applyAlignment="1" applyProtection="1">
      <protection locked="0"/>
    </xf>
    <xf numFmtId="0" fontId="5" fillId="0" borderId="0" xfId="2" applyFont="1" applyBorder="1" applyAlignment="1">
      <alignment horizontal="right"/>
    </xf>
    <xf numFmtId="0" fontId="6" fillId="0" borderId="10" xfId="2" applyNumberFormat="1" applyFont="1" applyBorder="1" applyAlignment="1" applyProtection="1">
      <protection locked="0"/>
    </xf>
    <xf numFmtId="0" fontId="5" fillId="0" borderId="5" xfId="2" applyFont="1" applyBorder="1" applyAlignment="1">
      <alignment horizontal="right"/>
    </xf>
    <xf numFmtId="0" fontId="5" fillId="0" borderId="13" xfId="2" applyFont="1" applyBorder="1" applyAlignment="1"/>
    <xf numFmtId="0" fontId="5" fillId="0" borderId="10" xfId="2" applyFont="1" applyBorder="1" applyAlignment="1"/>
    <xf numFmtId="0" fontId="6" fillId="0" borderId="0" xfId="2" applyNumberFormat="1" applyFont="1" applyAlignment="1" applyProtection="1">
      <alignment horizontal="right"/>
      <protection locked="0"/>
    </xf>
    <xf numFmtId="0" fontId="5" fillId="0" borderId="10" xfId="2" applyFont="1" applyBorder="1" applyAlignment="1">
      <alignment horizontal="left"/>
    </xf>
    <xf numFmtId="2" fontId="7" fillId="0" borderId="0" xfId="2" applyNumberFormat="1" applyFont="1" applyBorder="1" applyAlignment="1">
      <alignment horizontal="right"/>
    </xf>
    <xf numFmtId="206" fontId="5" fillId="0" borderId="2" xfId="2" applyNumberFormat="1" applyFont="1" applyBorder="1" applyAlignment="1">
      <alignment horizontal="center"/>
    </xf>
    <xf numFmtId="0" fontId="6" fillId="0" borderId="12" xfId="2" applyNumberFormat="1" applyFont="1" applyBorder="1" applyAlignment="1" applyProtection="1">
      <protection locked="0"/>
    </xf>
    <xf numFmtId="183" fontId="11" fillId="0" borderId="0" xfId="2" applyNumberFormat="1" applyFont="1" applyBorder="1" applyAlignment="1"/>
    <xf numFmtId="1" fontId="11" fillId="0" borderId="0" xfId="2" applyNumberFormat="1" applyFont="1" applyBorder="1" applyAlignment="1"/>
    <xf numFmtId="2" fontId="11" fillId="0" borderId="3" xfId="2" applyNumberFormat="1" applyFont="1" applyBorder="1" applyAlignment="1"/>
    <xf numFmtId="183" fontId="11" fillId="0" borderId="5" xfId="2" applyNumberFormat="1" applyFont="1" applyBorder="1" applyAlignment="1"/>
    <xf numFmtId="0" fontId="6" fillId="0" borderId="13" xfId="2" applyNumberFormat="1" applyFont="1" applyBorder="1" applyAlignment="1" applyProtection="1">
      <protection locked="0"/>
    </xf>
    <xf numFmtId="0" fontId="6" fillId="0" borderId="0" xfId="2" applyNumberFormat="1" applyFont="1" applyBorder="1" applyAlignment="1" applyProtection="1">
      <alignment horizontal="right"/>
      <protection locked="0"/>
    </xf>
    <xf numFmtId="206" fontId="11" fillId="0" borderId="0" xfId="2" applyNumberFormat="1" applyFont="1" applyBorder="1" applyAlignment="1"/>
    <xf numFmtId="3" fontId="11" fillId="0" borderId="0" xfId="2" applyNumberFormat="1" applyFont="1" applyBorder="1" applyAlignment="1"/>
    <xf numFmtId="0" fontId="6" fillId="0" borderId="0" xfId="2" applyNumberFormat="1" applyFont="1" applyBorder="1" applyAlignment="1"/>
    <xf numFmtId="0" fontId="5" fillId="0" borderId="0" xfId="2" applyFont="1" applyBorder="1" applyAlignment="1">
      <alignment horizontal="left"/>
    </xf>
    <xf numFmtId="2" fontId="5" fillId="0" borderId="5" xfId="2" applyNumberFormat="1" applyFont="1" applyBorder="1" applyAlignment="1">
      <alignment horizontal="right"/>
    </xf>
    <xf numFmtId="181" fontId="5" fillId="0" borderId="5" xfId="2" applyNumberFormat="1" applyFont="1" applyBorder="1" applyAlignment="1"/>
    <xf numFmtId="0" fontId="6" fillId="0" borderId="11" xfId="2" applyNumberFormat="1" applyFont="1" applyBorder="1" applyAlignment="1" applyProtection="1">
      <protection locked="0"/>
    </xf>
    <xf numFmtId="0" fontId="16" fillId="0" borderId="0" xfId="2" applyNumberFormat="1" applyFont="1" applyBorder="1" applyAlignment="1" applyProtection="1">
      <alignment horizontal="center"/>
      <protection locked="0"/>
    </xf>
    <xf numFmtId="0" fontId="5" fillId="0" borderId="13" xfId="2" applyFont="1" applyBorder="1" applyAlignment="1">
      <alignment horizontal="center"/>
    </xf>
    <xf numFmtId="1" fontId="5" fillId="0" borderId="5" xfId="2" applyNumberFormat="1" applyFont="1" applyBorder="1" applyAlignment="1">
      <alignment horizontal="right"/>
    </xf>
    <xf numFmtId="1" fontId="5" fillId="0" borderId="13" xfId="2" applyNumberFormat="1" applyFont="1" applyBorder="1" applyAlignment="1"/>
    <xf numFmtId="0" fontId="6" fillId="0" borderId="5" xfId="2" applyNumberFormat="1" applyFont="1" applyBorder="1" applyAlignment="1" applyProtection="1">
      <alignment horizontal="right"/>
      <protection locked="0"/>
    </xf>
    <xf numFmtId="0" fontId="6" fillId="0" borderId="5" xfId="2" quotePrefix="1" applyNumberFormat="1" applyFont="1" applyBorder="1" applyAlignment="1" applyProtection="1">
      <alignment horizontal="center"/>
      <protection locked="0"/>
    </xf>
    <xf numFmtId="0" fontId="5" fillId="0" borderId="5" xfId="2" applyFont="1" applyBorder="1" applyAlignment="1">
      <alignment horizontal="center"/>
    </xf>
    <xf numFmtId="0" fontId="16" fillId="0" borderId="3" xfId="2" applyFont="1" applyBorder="1" applyAlignment="1"/>
    <xf numFmtId="0" fontId="28" fillId="0" borderId="9" xfId="2" applyNumberFormat="1" applyFont="1" applyBorder="1" applyAlignment="1" applyProtection="1">
      <protection locked="0"/>
    </xf>
    <xf numFmtId="0" fontId="23" fillId="0" borderId="0" xfId="2" applyNumberFormat="1" applyFont="1" applyBorder="1" applyAlignment="1" applyProtection="1">
      <protection locked="0"/>
    </xf>
    <xf numFmtId="1" fontId="7" fillId="0" borderId="0" xfId="2" applyNumberFormat="1" applyFont="1" applyBorder="1" applyAlignment="1">
      <alignment horizontal="right"/>
    </xf>
    <xf numFmtId="0" fontId="5" fillId="0" borderId="9" xfId="2" applyFont="1" applyFill="1" applyBorder="1" applyAlignment="1">
      <alignment horizontal="left"/>
    </xf>
    <xf numFmtId="2" fontId="5" fillId="0" borderId="9" xfId="2" applyNumberFormat="1" applyFont="1" applyFill="1" applyBorder="1" applyAlignment="1"/>
    <xf numFmtId="1" fontId="6" fillId="0" borderId="0" xfId="2" applyNumberFormat="1" applyFont="1" applyBorder="1" applyAlignment="1" applyProtection="1">
      <protection locked="0"/>
    </xf>
    <xf numFmtId="1" fontId="5" fillId="0" borderId="10" xfId="2" applyNumberFormat="1" applyFont="1" applyBorder="1" applyAlignment="1">
      <alignment horizontal="left"/>
    </xf>
    <xf numFmtId="0" fontId="23" fillId="0" borderId="10" xfId="2" applyNumberFormat="1" applyFont="1" applyBorder="1" applyAlignment="1" applyProtection="1">
      <protection locked="0"/>
    </xf>
    <xf numFmtId="1" fontId="5" fillId="0" borderId="4" xfId="2" applyNumberFormat="1" applyFont="1" applyFill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0" fontId="7" fillId="0" borderId="10" xfId="2" applyNumberFormat="1" applyFont="1" applyBorder="1" applyAlignment="1" applyProtection="1">
      <protection locked="0"/>
    </xf>
    <xf numFmtId="1" fontId="7" fillId="0" borderId="10" xfId="2" applyNumberFormat="1" applyFont="1" applyBorder="1" applyAlignment="1">
      <alignment horizontal="left"/>
    </xf>
    <xf numFmtId="0" fontId="6" fillId="0" borderId="10" xfId="2" applyNumberFormat="1" applyFont="1" applyBorder="1" applyAlignment="1" applyProtection="1">
      <alignment horizontal="center"/>
      <protection locked="0"/>
    </xf>
    <xf numFmtId="0" fontId="5" fillId="0" borderId="7" xfId="2" applyFont="1" applyBorder="1" applyAlignment="1">
      <alignment horizontal="center"/>
    </xf>
    <xf numFmtId="0" fontId="6" fillId="0" borderId="8" xfId="2" applyNumberFormat="1" applyFont="1" applyBorder="1" applyAlignment="1" applyProtection="1">
      <alignment horizontal="center"/>
      <protection locked="0"/>
    </xf>
    <xf numFmtId="178" fontId="5" fillId="0" borderId="0" xfId="2" applyNumberFormat="1" applyFont="1" applyBorder="1" applyAlignment="1">
      <alignment horizontal="center"/>
    </xf>
    <xf numFmtId="178" fontId="5" fillId="0" borderId="5" xfId="2" applyNumberFormat="1" applyFont="1" applyBorder="1" applyAlignment="1">
      <alignment horizontal="center"/>
    </xf>
    <xf numFmtId="0" fontId="7" fillId="0" borderId="10" xfId="2" applyFont="1" applyBorder="1" applyAlignment="1">
      <alignment horizontal="left"/>
    </xf>
    <xf numFmtId="0" fontId="6" fillId="0" borderId="3" xfId="2" applyNumberFormat="1" applyFont="1" applyBorder="1" applyAlignment="1" applyProtection="1">
      <alignment horizontal="center"/>
      <protection locked="0"/>
    </xf>
    <xf numFmtId="0" fontId="6" fillId="0" borderId="11" xfId="2" applyNumberFormat="1" applyFont="1" applyBorder="1" applyAlignment="1" applyProtection="1">
      <alignment horizontal="right"/>
      <protection locked="0"/>
    </xf>
    <xf numFmtId="2" fontId="6" fillId="0" borderId="3" xfId="2" applyNumberFormat="1" applyFont="1" applyBorder="1" applyAlignment="1" applyProtection="1">
      <protection locked="0"/>
    </xf>
    <xf numFmtId="0" fontId="28" fillId="0" borderId="4" xfId="2" applyNumberFormat="1" applyFont="1" applyBorder="1" applyAlignment="1" applyProtection="1">
      <protection locked="0"/>
    </xf>
    <xf numFmtId="0" fontId="7" fillId="0" borderId="10" xfId="2" applyFont="1" applyBorder="1" applyAlignment="1"/>
    <xf numFmtId="0" fontId="6" fillId="0" borderId="5" xfId="2" applyFont="1" applyBorder="1" applyAlignment="1">
      <alignment horizontal="center"/>
    </xf>
    <xf numFmtId="2" fontId="5" fillId="0" borderId="1" xfId="2" applyNumberFormat="1" applyFont="1" applyBorder="1" applyAlignment="1">
      <alignment horizontal="center"/>
    </xf>
    <xf numFmtId="178" fontId="5" fillId="0" borderId="2" xfId="2" applyNumberFormat="1" applyFont="1" applyBorder="1" applyAlignment="1">
      <alignment horizontal="center"/>
    </xf>
    <xf numFmtId="178" fontId="21" fillId="0" borderId="2" xfId="2" applyNumberFormat="1" applyFont="1" applyBorder="1" applyAlignment="1">
      <alignment horizontal="center"/>
    </xf>
    <xf numFmtId="178" fontId="11" fillId="0" borderId="9" xfId="2" applyNumberFormat="1" applyFont="1" applyBorder="1" applyAlignment="1">
      <alignment horizontal="center"/>
    </xf>
    <xf numFmtId="178" fontId="11" fillId="0" borderId="0" xfId="2" applyNumberFormat="1" applyFont="1" applyBorder="1" applyAlignment="1">
      <alignment horizontal="center"/>
    </xf>
    <xf numFmtId="178" fontId="24" fillId="0" borderId="0" xfId="2" applyNumberFormat="1" applyFont="1" applyBorder="1" applyAlignment="1">
      <alignment horizontal="center"/>
    </xf>
    <xf numFmtId="178" fontId="5" fillId="0" borderId="9" xfId="2" applyNumberFormat="1" applyFont="1" applyBorder="1" applyAlignment="1">
      <alignment horizontal="center"/>
    </xf>
    <xf numFmtId="178" fontId="21" fillId="0" borderId="0" xfId="2" applyNumberFormat="1" applyFont="1" applyBorder="1" applyAlignment="1">
      <alignment horizontal="center"/>
    </xf>
    <xf numFmtId="178" fontId="11" fillId="0" borderId="4" xfId="2" applyNumberFormat="1" applyFont="1" applyBorder="1" applyAlignment="1">
      <alignment horizontal="center"/>
    </xf>
    <xf numFmtId="178" fontId="11" fillId="0" borderId="5" xfId="2" applyNumberFormat="1" applyFont="1" applyBorder="1" applyAlignment="1">
      <alignment horizontal="center"/>
    </xf>
    <xf numFmtId="178" fontId="24" fillId="0" borderId="5" xfId="2" applyNumberFormat="1" applyFont="1" applyBorder="1" applyAlignment="1">
      <alignment horizontal="center"/>
    </xf>
    <xf numFmtId="0" fontId="12" fillId="0" borderId="0" xfId="2" applyNumberFormat="1" applyFont="1" applyAlignment="1"/>
    <xf numFmtId="0" fontId="22" fillId="0" borderId="2" xfId="2" applyNumberFormat="1" applyFont="1" applyBorder="1" applyAlignment="1"/>
    <xf numFmtId="0" fontId="25" fillId="0" borderId="0" xfId="2" applyNumberFormat="1" applyFont="1" applyAlignment="1"/>
    <xf numFmtId="0" fontId="22" fillId="0" borderId="0" xfId="2" applyNumberFormat="1" applyFont="1" applyAlignment="1"/>
    <xf numFmtId="0" fontId="22" fillId="0" borderId="0" xfId="2" applyNumberFormat="1" applyFont="1" applyAlignment="1" applyProtection="1">
      <protection locked="0"/>
    </xf>
    <xf numFmtId="0" fontId="25" fillId="0" borderId="0" xfId="2" applyNumberFormat="1" applyFont="1" applyAlignment="1" applyProtection="1">
      <protection locked="0"/>
    </xf>
    <xf numFmtId="0" fontId="25" fillId="0" borderId="5" xfId="2" applyNumberFormat="1" applyFont="1" applyBorder="1" applyAlignment="1"/>
    <xf numFmtId="0" fontId="25" fillId="0" borderId="5" xfId="2" applyNumberFormat="1" applyFont="1" applyBorder="1" applyAlignment="1" applyProtection="1">
      <protection locked="0"/>
    </xf>
    <xf numFmtId="0" fontId="6" fillId="0" borderId="0" xfId="2" applyFont="1" applyAlignment="1"/>
    <xf numFmtId="178" fontId="5" fillId="0" borderId="0" xfId="2" applyNumberFormat="1" applyFont="1" applyAlignment="1"/>
    <xf numFmtId="0" fontId="13" fillId="0" borderId="0" xfId="2" applyNumberFormat="1" applyFont="1" applyBorder="1" applyAlignment="1" applyProtection="1">
      <protection locked="0"/>
    </xf>
    <xf numFmtId="0" fontId="13" fillId="0" borderId="0" xfId="2" applyNumberFormat="1" applyFont="1" applyBorder="1" applyAlignment="1" applyProtection="1">
      <alignment horizontal="right"/>
      <protection locked="0"/>
    </xf>
    <xf numFmtId="0" fontId="6" fillId="0" borderId="0" xfId="2" applyFont="1" applyBorder="1" applyAlignment="1">
      <alignment horizontal="right"/>
    </xf>
    <xf numFmtId="2" fontId="6" fillId="0" borderId="0" xfId="2" applyNumberFormat="1" applyFont="1" applyBorder="1" applyAlignment="1"/>
    <xf numFmtId="0" fontId="6" fillId="0" borderId="0" xfId="2" applyFont="1" applyBorder="1" applyAlignment="1"/>
    <xf numFmtId="2" fontId="13" fillId="0" borderId="0" xfId="2" applyNumberFormat="1" applyFont="1" applyFill="1" applyBorder="1" applyAlignment="1"/>
    <xf numFmtId="189" fontId="6" fillId="0" borderId="0" xfId="2" applyNumberFormat="1" applyFont="1" applyAlignment="1" applyProtection="1">
      <protection locked="0"/>
    </xf>
    <xf numFmtId="2" fontId="5" fillId="0" borderId="10" xfId="2" applyNumberFormat="1" applyFont="1" applyBorder="1" applyAlignment="1">
      <alignment horizontal="center"/>
    </xf>
    <xf numFmtId="2" fontId="5" fillId="0" borderId="13" xfId="2" applyNumberFormat="1" applyFont="1" applyBorder="1" applyAlignment="1">
      <alignment horizontal="center"/>
    </xf>
    <xf numFmtId="2" fontId="7" fillId="0" borderId="11" xfId="2" applyNumberFormat="1" applyFont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2" fontId="20" fillId="0" borderId="1" xfId="2" applyNumberFormat="1" applyFont="1" applyBorder="1" applyAlignment="1">
      <alignment horizontal="center"/>
    </xf>
    <xf numFmtId="0" fontId="6" fillId="0" borderId="0" xfId="2" applyNumberFormat="1" applyFont="1" applyFill="1" applyAlignment="1" applyProtection="1">
      <protection locked="0"/>
    </xf>
    <xf numFmtId="0" fontId="16" fillId="0" borderId="0" xfId="0" applyFont="1"/>
    <xf numFmtId="0" fontId="5" fillId="0" borderId="0" xfId="2" applyFont="1" applyFill="1" applyAlignment="1"/>
    <xf numFmtId="0" fontId="6" fillId="0" borderId="13" xfId="2" applyNumberFormat="1" applyFont="1" applyBorder="1" applyAlignment="1" applyProtection="1">
      <alignment horizontal="center"/>
      <protection locked="0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3" fillId="0" borderId="0" xfId="1" applyFont="1" applyAlignment="1" applyProtection="1"/>
    <xf numFmtId="0" fontId="31" fillId="0" borderId="0" xfId="0" applyFont="1" applyBorder="1"/>
    <xf numFmtId="15" fontId="31" fillId="0" borderId="0" xfId="0" applyNumberFormat="1" applyFont="1" applyBorder="1"/>
    <xf numFmtId="0" fontId="30" fillId="0" borderId="3" xfId="2" applyFont="1" applyBorder="1" applyAlignment="1">
      <alignment horizontal="left"/>
    </xf>
    <xf numFmtId="0" fontId="34" fillId="0" borderId="3" xfId="2" applyFont="1" applyBorder="1" applyAlignment="1"/>
    <xf numFmtId="0" fontId="31" fillId="0" borderId="3" xfId="0" applyFont="1" applyBorder="1"/>
    <xf numFmtId="2" fontId="34" fillId="0" borderId="3" xfId="2" applyNumberFormat="1" applyFont="1" applyBorder="1" applyAlignment="1">
      <alignment horizontal="center"/>
    </xf>
    <xf numFmtId="0" fontId="31" fillId="0" borderId="3" xfId="2" applyNumberFormat="1" applyFont="1" applyBorder="1" applyAlignment="1" applyProtection="1">
      <protection locked="0"/>
    </xf>
    <xf numFmtId="0" fontId="34" fillId="0" borderId="0" xfId="2" applyFont="1" applyBorder="1" applyAlignment="1">
      <alignment horizontal="left"/>
    </xf>
    <xf numFmtId="0" fontId="34" fillId="0" borderId="0" xfId="2" applyFont="1" applyBorder="1" applyAlignment="1"/>
    <xf numFmtId="2" fontId="34" fillId="0" borderId="0" xfId="2" applyNumberFormat="1" applyFont="1" applyBorder="1" applyAlignment="1">
      <alignment horizontal="right"/>
    </xf>
    <xf numFmtId="0" fontId="34" fillId="0" borderId="0" xfId="2" applyFont="1" applyBorder="1" applyAlignment="1">
      <alignment horizontal="right"/>
    </xf>
    <xf numFmtId="0" fontId="31" fillId="0" borderId="0" xfId="2" applyNumberFormat="1" applyFont="1" applyBorder="1" applyAlignment="1" applyProtection="1">
      <protection locked="0"/>
    </xf>
    <xf numFmtId="2" fontId="34" fillId="0" borderId="0" xfId="2" applyNumberFormat="1" applyFont="1" applyBorder="1" applyAlignment="1"/>
    <xf numFmtId="2" fontId="34" fillId="0" borderId="0" xfId="2" applyNumberFormat="1" applyFont="1" applyAlignment="1"/>
    <xf numFmtId="2" fontId="33" fillId="0" borderId="0" xfId="1" applyNumberFormat="1" applyFont="1" applyAlignment="1" applyProtection="1"/>
    <xf numFmtId="0" fontId="31" fillId="0" borderId="0" xfId="0" applyFont="1" applyAlignment="1"/>
    <xf numFmtId="0" fontId="34" fillId="0" borderId="0" xfId="2" applyFont="1" applyAlignment="1">
      <alignment horizontal="center"/>
    </xf>
    <xf numFmtId="0" fontId="34" fillId="0" borderId="0" xfId="2" applyFont="1" applyAlignment="1"/>
    <xf numFmtId="2" fontId="34" fillId="0" borderId="0" xfId="2" applyNumberFormat="1" applyFont="1" applyAlignment="1">
      <alignment horizontal="right"/>
    </xf>
    <xf numFmtId="0" fontId="34" fillId="0" borderId="0" xfId="2" applyFont="1" applyAlignment="1">
      <alignment horizontal="right"/>
    </xf>
    <xf numFmtId="0" fontId="31" fillId="0" borderId="0" xfId="2" applyNumberFormat="1" applyFont="1" applyAlignment="1" applyProtection="1">
      <protection locked="0"/>
    </xf>
    <xf numFmtId="0" fontId="34" fillId="0" borderId="0" xfId="2" applyNumberFormat="1" applyFont="1" applyAlignment="1"/>
    <xf numFmtId="0" fontId="34" fillId="0" borderId="0" xfId="2" applyFont="1" applyAlignment="1">
      <alignment horizontal="left"/>
    </xf>
    <xf numFmtId="0" fontId="35" fillId="0" borderId="0" xfId="0" applyFont="1"/>
    <xf numFmtId="0" fontId="34" fillId="0" borderId="0" xfId="2" applyFont="1" applyBorder="1" applyAlignment="1">
      <alignment horizontal="center"/>
    </xf>
    <xf numFmtId="0" fontId="32" fillId="0" borderId="0" xfId="0" applyFont="1"/>
    <xf numFmtId="0" fontId="36" fillId="0" borderId="0" xfId="0" applyFont="1"/>
    <xf numFmtId="0" fontId="5" fillId="0" borderId="5" xfId="2" applyFont="1" applyBorder="1" applyAlignment="1"/>
    <xf numFmtId="0" fontId="28" fillId="0" borderId="3" xfId="2" applyNumberFormat="1" applyFont="1" applyBorder="1" applyAlignment="1" applyProtection="1">
      <protection locked="0"/>
    </xf>
    <xf numFmtId="0" fontId="29" fillId="0" borderId="0" xfId="2" applyFont="1" applyBorder="1" applyAlignment="1"/>
    <xf numFmtId="0" fontId="29" fillId="0" borderId="5" xfId="2" applyFont="1" applyBorder="1" applyAlignment="1"/>
    <xf numFmtId="0" fontId="11" fillId="0" borderId="3" xfId="2" applyFont="1" applyBorder="1" applyAlignment="1"/>
    <xf numFmtId="0" fontId="10" fillId="0" borderId="0" xfId="2" applyFont="1" applyAlignment="1">
      <alignment horizontal="center"/>
    </xf>
    <xf numFmtId="2" fontId="6" fillId="0" borderId="5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16" fillId="0" borderId="0" xfId="2" applyNumberFormat="1" applyFont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2" fontId="16" fillId="0" borderId="5" xfId="2" applyNumberFormat="1" applyFont="1" applyBorder="1" applyAlignment="1">
      <alignment horizontal="center"/>
    </xf>
    <xf numFmtId="0" fontId="37" fillId="0" borderId="0" xfId="0" applyFont="1"/>
    <xf numFmtId="0" fontId="40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>
      <alignment horizontal="center"/>
    </xf>
    <xf numFmtId="0" fontId="38" fillId="0" borderId="0" xfId="2" applyFont="1" applyAlignment="1">
      <alignment horizontal="left"/>
    </xf>
    <xf numFmtId="2" fontId="39" fillId="0" borderId="0" xfId="2" applyNumberFormat="1" applyFont="1" applyFill="1" applyBorder="1" applyAlignment="1">
      <alignment horizontal="center"/>
    </xf>
    <xf numFmtId="2" fontId="39" fillId="0" borderId="12" xfId="2" applyNumberFormat="1" applyFont="1" applyFill="1" applyBorder="1" applyAlignment="1">
      <alignment horizontal="center"/>
    </xf>
    <xf numFmtId="0" fontId="39" fillId="0" borderId="0" xfId="2" applyNumberFormat="1" applyFont="1" applyAlignment="1" applyProtection="1">
      <alignment horizontal="center"/>
      <protection locked="0"/>
    </xf>
    <xf numFmtId="0" fontId="39" fillId="0" borderId="10" xfId="2" applyFont="1" applyBorder="1" applyAlignment="1">
      <alignment horizontal="center"/>
    </xf>
    <xf numFmtId="2" fontId="40" fillId="0" borderId="5" xfId="2" applyNumberFormat="1" applyFont="1" applyBorder="1" applyAlignment="1">
      <alignment horizontal="center"/>
    </xf>
    <xf numFmtId="2" fontId="40" fillId="0" borderId="13" xfId="2" applyNumberFormat="1" applyFont="1" applyFill="1" applyBorder="1" applyAlignment="1">
      <alignment horizontal="center"/>
    </xf>
    <xf numFmtId="2" fontId="40" fillId="0" borderId="2" xfId="2" applyNumberFormat="1" applyFont="1" applyBorder="1" applyAlignment="1">
      <alignment horizontal="center"/>
    </xf>
    <xf numFmtId="2" fontId="40" fillId="0" borderId="14" xfId="2" applyNumberFormat="1" applyFont="1" applyFill="1" applyBorder="1" applyAlignment="1">
      <alignment horizontal="center"/>
    </xf>
    <xf numFmtId="0" fontId="40" fillId="0" borderId="2" xfId="2" applyNumberFormat="1" applyFont="1" applyBorder="1" applyAlignment="1" applyProtection="1">
      <alignment horizontal="center"/>
      <protection locked="0"/>
    </xf>
    <xf numFmtId="2" fontId="41" fillId="0" borderId="0" xfId="2" applyNumberFormat="1" applyFont="1" applyBorder="1" applyAlignment="1">
      <alignment horizontal="center"/>
    </xf>
    <xf numFmtId="2" fontId="41" fillId="0" borderId="10" xfId="2" applyNumberFormat="1" applyFont="1" applyFill="1" applyBorder="1" applyAlignment="1">
      <alignment horizontal="center"/>
    </xf>
    <xf numFmtId="0" fontId="41" fillId="0" borderId="0" xfId="2" applyNumberFormat="1" applyFont="1" applyAlignment="1" applyProtection="1">
      <alignment horizontal="center"/>
      <protection locked="0"/>
    </xf>
    <xf numFmtId="2" fontId="40" fillId="0" borderId="0" xfId="2" applyNumberFormat="1" applyFont="1" applyBorder="1" applyAlignment="1">
      <alignment horizontal="center"/>
    </xf>
    <xf numFmtId="2" fontId="40" fillId="0" borderId="10" xfId="2" applyNumberFormat="1" applyFont="1" applyFill="1" applyBorder="1" applyAlignment="1">
      <alignment horizontal="center"/>
    </xf>
    <xf numFmtId="2" fontId="41" fillId="0" borderId="13" xfId="2" applyNumberFormat="1" applyFont="1" applyFill="1" applyBorder="1" applyAlignment="1">
      <alignment horizontal="center"/>
    </xf>
    <xf numFmtId="2" fontId="39" fillId="0" borderId="12" xfId="2" applyNumberFormat="1" applyFont="1" applyBorder="1" applyAlignment="1">
      <alignment horizontal="center"/>
    </xf>
    <xf numFmtId="2" fontId="39" fillId="0" borderId="10" xfId="2" applyNumberFormat="1" applyFont="1" applyBorder="1" applyAlignment="1">
      <alignment horizontal="center"/>
    </xf>
    <xf numFmtId="2" fontId="40" fillId="0" borderId="13" xfId="2" applyNumberFormat="1" applyFont="1" applyBorder="1" applyAlignment="1">
      <alignment horizontal="center"/>
    </xf>
    <xf numFmtId="2" fontId="40" fillId="0" borderId="14" xfId="2" applyNumberFormat="1" applyFont="1" applyBorder="1" applyAlignment="1">
      <alignment horizontal="center"/>
    </xf>
    <xf numFmtId="178" fontId="41" fillId="0" borderId="10" xfId="2" applyNumberFormat="1" applyFont="1" applyBorder="1" applyAlignment="1">
      <alignment horizontal="center"/>
    </xf>
    <xf numFmtId="178" fontId="40" fillId="0" borderId="10" xfId="2" applyNumberFormat="1" applyFont="1" applyBorder="1" applyAlignment="1">
      <alignment horizontal="center"/>
    </xf>
    <xf numFmtId="178" fontId="41" fillId="0" borderId="13" xfId="2" applyNumberFormat="1" applyFont="1" applyBorder="1" applyAlignment="1">
      <alignment horizontal="center"/>
    </xf>
    <xf numFmtId="0" fontId="39" fillId="0" borderId="9" xfId="2" applyNumberFormat="1" applyFont="1" applyBorder="1" applyAlignment="1" applyProtection="1">
      <alignment horizontal="center"/>
      <protection locked="0"/>
    </xf>
    <xf numFmtId="178" fontId="16" fillId="0" borderId="9" xfId="2" applyNumberFormat="1" applyFont="1" applyBorder="1" applyAlignment="1">
      <alignment horizontal="center"/>
    </xf>
    <xf numFmtId="178" fontId="16" fillId="0" borderId="4" xfId="2" applyNumberFormat="1" applyFont="1" applyBorder="1" applyAlignment="1">
      <alignment horizontal="center"/>
    </xf>
    <xf numFmtId="2" fontId="41" fillId="0" borderId="0" xfId="2" applyNumberFormat="1" applyFont="1" applyBorder="1" applyAlignment="1"/>
    <xf numFmtId="0" fontId="41" fillId="0" borderId="0" xfId="2" applyFont="1" applyBorder="1" applyAlignment="1"/>
    <xf numFmtId="0" fontId="40" fillId="0" borderId="0" xfId="2" applyNumberFormat="1" applyFont="1" applyBorder="1" applyAlignment="1" applyProtection="1">
      <alignment horizontal="right"/>
      <protection locked="0"/>
    </xf>
    <xf numFmtId="0" fontId="39" fillId="0" borderId="10" xfId="2" applyNumberFormat="1" applyFont="1" applyBorder="1" applyAlignment="1" applyProtection="1">
      <protection locked="0"/>
    </xf>
    <xf numFmtId="0" fontId="40" fillId="0" borderId="0" xfId="2" applyFont="1" applyBorder="1" applyAlignment="1">
      <alignment horizontal="right"/>
    </xf>
    <xf numFmtId="2" fontId="40" fillId="2" borderId="0" xfId="2" applyNumberFormat="1" applyFont="1" applyFill="1" applyBorder="1" applyAlignment="1"/>
    <xf numFmtId="0" fontId="40" fillId="0" borderId="10" xfId="2" applyFont="1" applyBorder="1" applyAlignment="1">
      <alignment horizontal="left"/>
    </xf>
    <xf numFmtId="189" fontId="40" fillId="0" borderId="0" xfId="2" applyNumberFormat="1" applyFont="1" applyBorder="1" applyAlignment="1">
      <alignment horizontal="center"/>
    </xf>
    <xf numFmtId="0" fontId="40" fillId="0" borderId="0" xfId="2" applyFont="1" applyAlignment="1"/>
    <xf numFmtId="195" fontId="40" fillId="0" borderId="0" xfId="2" applyNumberFormat="1" applyFont="1" applyBorder="1" applyAlignment="1" applyProtection="1">
      <protection locked="0"/>
    </xf>
    <xf numFmtId="0" fontId="40" fillId="0" borderId="0" xfId="2" applyNumberFormat="1" applyFont="1" applyBorder="1" applyAlignment="1" applyProtection="1">
      <protection locked="0"/>
    </xf>
    <xf numFmtId="181" fontId="40" fillId="0" borderId="0" xfId="2" applyNumberFormat="1" applyFont="1" applyBorder="1" applyAlignment="1"/>
    <xf numFmtId="0" fontId="40" fillId="0" borderId="0" xfId="2" applyFont="1" applyBorder="1" applyAlignment="1"/>
    <xf numFmtId="0" fontId="39" fillId="0" borderId="0" xfId="2" applyFont="1" applyAlignment="1">
      <alignment horizontal="center"/>
    </xf>
    <xf numFmtId="0" fontId="39" fillId="0" borderId="5" xfId="2" applyFont="1" applyBorder="1" applyAlignment="1">
      <alignment horizontal="center"/>
    </xf>
    <xf numFmtId="0" fontId="40" fillId="0" borderId="2" xfId="2" applyNumberFormat="1" applyFont="1" applyBorder="1" applyAlignment="1" applyProtection="1">
      <protection locked="0"/>
    </xf>
    <xf numFmtId="2" fontId="41" fillId="0" borderId="0" xfId="2" applyNumberFormat="1" applyFont="1" applyAlignment="1" applyProtection="1">
      <protection locked="0"/>
    </xf>
    <xf numFmtId="2" fontId="40" fillId="0" borderId="0" xfId="2" applyNumberFormat="1" applyFont="1" applyAlignment="1" applyProtection="1">
      <protection locked="0"/>
    </xf>
    <xf numFmtId="2" fontId="41" fillId="0" borderId="5" xfId="2" applyNumberFormat="1" applyFont="1" applyBorder="1" applyAlignment="1" applyProtection="1">
      <protection locked="0"/>
    </xf>
    <xf numFmtId="2" fontId="39" fillId="0" borderId="0" xfId="2" applyNumberFormat="1" applyFont="1" applyBorder="1" applyAlignment="1">
      <alignment horizontal="center"/>
    </xf>
    <xf numFmtId="2" fontId="39" fillId="0" borderId="5" xfId="2" applyNumberFormat="1" applyFont="1" applyBorder="1" applyAlignment="1">
      <alignment horizontal="right"/>
    </xf>
    <xf numFmtId="2" fontId="40" fillId="0" borderId="2" xfId="2" applyNumberFormat="1" applyFont="1" applyBorder="1" applyAlignment="1"/>
    <xf numFmtId="181" fontId="41" fillId="0" borderId="0" xfId="2" applyNumberFormat="1" applyFont="1" applyBorder="1" applyAlignment="1"/>
    <xf numFmtId="0" fontId="40" fillId="0" borderId="11" xfId="2" applyNumberFormat="1" applyFont="1" applyBorder="1" applyAlignment="1" applyProtection="1">
      <protection locked="0"/>
    </xf>
    <xf numFmtId="0" fontId="40" fillId="0" borderId="3" xfId="2" applyNumberFormat="1" applyFont="1" applyBorder="1" applyAlignment="1" applyProtection="1">
      <protection locked="0"/>
    </xf>
    <xf numFmtId="0" fontId="40" fillId="0" borderId="3" xfId="2" quotePrefix="1" applyNumberFormat="1" applyFont="1" applyBorder="1" applyAlignment="1" applyProtection="1">
      <protection locked="0"/>
    </xf>
    <xf numFmtId="0" fontId="40" fillId="0" borderId="3" xfId="2" applyFont="1" applyBorder="1" applyAlignment="1"/>
    <xf numFmtId="0" fontId="40" fillId="0" borderId="12" xfId="2" applyNumberFormat="1" applyFont="1" applyBorder="1" applyAlignment="1" applyProtection="1">
      <protection locked="0"/>
    </xf>
    <xf numFmtId="0" fontId="40" fillId="0" borderId="9" xfId="2" quotePrefix="1" applyNumberFormat="1" applyFont="1" applyBorder="1" applyAlignment="1" applyProtection="1">
      <protection locked="0"/>
    </xf>
    <xf numFmtId="0" fontId="40" fillId="0" borderId="1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protection locked="0"/>
    </xf>
    <xf numFmtId="9" fontId="40" fillId="0" borderId="0" xfId="4" applyFont="1" applyBorder="1" applyAlignment="1" applyProtection="1">
      <protection locked="0"/>
    </xf>
    <xf numFmtId="9" fontId="40" fillId="0" borderId="0" xfId="2" applyNumberFormat="1" applyFont="1" applyBorder="1" applyAlignment="1" applyProtection="1">
      <protection locked="0"/>
    </xf>
    <xf numFmtId="0" fontId="40" fillId="0" borderId="9" xfId="2" applyNumberFormat="1" applyFont="1" applyBorder="1" applyAlignment="1" applyProtection="1">
      <alignment horizontal="center"/>
      <protection locked="0"/>
    </xf>
    <xf numFmtId="0" fontId="40" fillId="0" borderId="4" xfId="2" applyNumberFormat="1" applyFont="1" applyBorder="1" applyAlignment="1" applyProtection="1">
      <alignment horizontal="center"/>
      <protection locked="0"/>
    </xf>
    <xf numFmtId="0" fontId="40" fillId="0" borderId="5" xfId="2" applyNumberFormat="1" applyFont="1" applyBorder="1" applyAlignment="1" applyProtection="1">
      <protection locked="0"/>
    </xf>
    <xf numFmtId="9" fontId="40" fillId="0" borderId="5" xfId="4" applyFont="1" applyBorder="1" applyAlignment="1" applyProtection="1">
      <protection locked="0"/>
    </xf>
    <xf numFmtId="9" fontId="40" fillId="0" borderId="5" xfId="2" applyNumberFormat="1" applyFont="1" applyBorder="1" applyAlignment="1" applyProtection="1">
      <protection locked="0"/>
    </xf>
    <xf numFmtId="0" fontId="40" fillId="0" borderId="13" xfId="2" applyNumberFormat="1" applyFont="1" applyBorder="1" applyAlignment="1" applyProtection="1">
      <protection locked="0"/>
    </xf>
    <xf numFmtId="0" fontId="40" fillId="0" borderId="10" xfId="2" applyFont="1" applyBorder="1" applyAlignment="1"/>
    <xf numFmtId="0" fontId="40" fillId="0" borderId="13" xfId="2" applyFont="1" applyBorder="1" applyAlignment="1"/>
    <xf numFmtId="0" fontId="10" fillId="0" borderId="10" xfId="2" applyNumberFormat="1" applyFont="1" applyBorder="1" applyAlignment="1" applyProtection="1">
      <protection locked="0"/>
    </xf>
    <xf numFmtId="179" fontId="16" fillId="0" borderId="0" xfId="2" applyNumberFormat="1" applyFont="1" applyBorder="1" applyAlignment="1" applyProtection="1">
      <protection locked="0"/>
    </xf>
    <xf numFmtId="0" fontId="41" fillId="0" borderId="3" xfId="2" applyFont="1" applyBorder="1" applyAlignment="1"/>
    <xf numFmtId="2" fontId="6" fillId="0" borderId="0" xfId="2" applyNumberFormat="1" applyFont="1" applyAlignment="1" applyProtection="1">
      <protection locked="0"/>
    </xf>
    <xf numFmtId="178" fontId="6" fillId="0" borderId="0" xfId="2" applyNumberFormat="1" applyFont="1" applyAlignment="1" applyProtection="1">
      <protection locked="0"/>
    </xf>
    <xf numFmtId="197" fontId="41" fillId="0" borderId="0" xfId="2" applyNumberFormat="1" applyFont="1" applyFill="1" applyBorder="1" applyAlignment="1"/>
    <xf numFmtId="0" fontId="10" fillId="0" borderId="11" xfId="2" applyNumberFormat="1" applyFont="1" applyBorder="1" applyAlignment="1" applyProtection="1">
      <protection locked="0"/>
    </xf>
    <xf numFmtId="0" fontId="7" fillId="0" borderId="9" xfId="2" applyFont="1" applyBorder="1" applyAlignment="1"/>
    <xf numFmtId="2" fontId="7" fillId="0" borderId="0" xfId="2" applyNumberFormat="1" applyFont="1" applyBorder="1" applyAlignment="1"/>
    <xf numFmtId="0" fontId="3" fillId="0" borderId="1" xfId="2" applyNumberFormat="1" applyFont="1" applyBorder="1" applyAlignment="1" applyProtection="1">
      <alignment horizontal="right"/>
      <protection locked="0"/>
    </xf>
    <xf numFmtId="0" fontId="3" fillId="0" borderId="14" xfId="2" applyNumberFormat="1" applyFont="1" applyBorder="1" applyAlignment="1" applyProtection="1">
      <protection locked="0"/>
    </xf>
    <xf numFmtId="0" fontId="17" fillId="0" borderId="0" xfId="2" applyFont="1" applyBorder="1" applyAlignment="1">
      <alignment horizontal="right"/>
    </xf>
    <xf numFmtId="0" fontId="40" fillId="0" borderId="5" xfId="2" applyFont="1" applyBorder="1" applyAlignment="1"/>
    <xf numFmtId="9" fontId="40" fillId="0" borderId="10" xfId="2" applyNumberFormat="1" applyFont="1" applyBorder="1" applyAlignment="1" applyProtection="1">
      <protection locked="0"/>
    </xf>
    <xf numFmtId="0" fontId="40" fillId="0" borderId="4" xfId="2" applyNumberFormat="1" applyFont="1" applyBorder="1" applyAlignment="1" applyProtection="1">
      <protection locked="0"/>
    </xf>
    <xf numFmtId="9" fontId="40" fillId="0" borderId="13" xfId="2" applyNumberFormat="1" applyFont="1" applyBorder="1" applyAlignment="1" applyProtection="1">
      <protection locked="0"/>
    </xf>
    <xf numFmtId="0" fontId="3" fillId="0" borderId="3" xfId="2" applyNumberFormat="1" applyFont="1" applyBorder="1" applyAlignment="1" applyProtection="1">
      <protection locked="0"/>
    </xf>
    <xf numFmtId="2" fontId="3" fillId="0" borderId="12" xfId="2" applyNumberFormat="1" applyFont="1" applyBorder="1" applyAlignment="1" applyProtection="1">
      <protection locked="0"/>
    </xf>
    <xf numFmtId="2" fontId="3" fillId="0" borderId="13" xfId="2" applyNumberFormat="1" applyFont="1" applyBorder="1" applyAlignment="1" applyProtection="1">
      <protection locked="0"/>
    </xf>
    <xf numFmtId="178" fontId="6" fillId="0" borderId="9" xfId="2" applyNumberFormat="1" applyFont="1" applyBorder="1" applyAlignment="1">
      <alignment horizontal="center"/>
    </xf>
    <xf numFmtId="0" fontId="40" fillId="0" borderId="0" xfId="2" applyFont="1" applyBorder="1" applyAlignment="1">
      <alignment horizontal="center"/>
    </xf>
    <xf numFmtId="0" fontId="39" fillId="0" borderId="0" xfId="2" applyFont="1" applyBorder="1" applyAlignment="1">
      <alignment horizontal="right"/>
    </xf>
    <xf numFmtId="0" fontId="39" fillId="0" borderId="0" xfId="2" applyNumberFormat="1" applyFont="1" applyAlignment="1" applyProtection="1">
      <protection locked="0"/>
    </xf>
    <xf numFmtId="0" fontId="40" fillId="0" borderId="5" xfId="2" applyFont="1" applyBorder="1" applyAlignment="1">
      <alignment horizontal="center"/>
    </xf>
    <xf numFmtId="0" fontId="39" fillId="0" borderId="5" xfId="2" applyFont="1" applyBorder="1" applyAlignment="1">
      <alignment horizontal="right"/>
    </xf>
    <xf numFmtId="185" fontId="41" fillId="0" borderId="0" xfId="2" applyNumberFormat="1" applyFont="1" applyAlignment="1"/>
    <xf numFmtId="2" fontId="41" fillId="0" borderId="0" xfId="2" applyNumberFormat="1" applyFont="1" applyAlignment="1"/>
    <xf numFmtId="185" fontId="40" fillId="0" borderId="0" xfId="2" applyNumberFormat="1" applyFont="1" applyAlignment="1"/>
    <xf numFmtId="2" fontId="40" fillId="0" borderId="0" xfId="2" applyNumberFormat="1" applyFont="1" applyAlignment="1"/>
    <xf numFmtId="185" fontId="41" fillId="0" borderId="5" xfId="2" applyNumberFormat="1" applyFont="1" applyBorder="1" applyAlignment="1"/>
    <xf numFmtId="185" fontId="40" fillId="0" borderId="11" xfId="2" applyNumberFormat="1" applyFont="1" applyBorder="1" applyAlignment="1"/>
    <xf numFmtId="185" fontId="40" fillId="0" borderId="3" xfId="2" applyNumberFormat="1" applyFont="1" applyBorder="1" applyAlignment="1"/>
    <xf numFmtId="3" fontId="42" fillId="0" borderId="2" xfId="2" applyNumberFormat="1" applyFont="1" applyBorder="1" applyAlignment="1" applyProtection="1">
      <protection locked="0"/>
    </xf>
    <xf numFmtId="0" fontId="9" fillId="0" borderId="11" xfId="2" applyFont="1" applyBorder="1" applyAlignment="1">
      <alignment horizontal="center"/>
    </xf>
    <xf numFmtId="0" fontId="39" fillId="0" borderId="3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7" fillId="0" borderId="0" xfId="2" applyNumberFormat="1" applyFont="1" applyBorder="1" applyAlignment="1"/>
    <xf numFmtId="0" fontId="9" fillId="0" borderId="0" xfId="2" applyNumberFormat="1" applyFont="1" applyBorder="1" applyAlignment="1"/>
    <xf numFmtId="0" fontId="3" fillId="0" borderId="1" xfId="2" applyNumberFormat="1" applyFont="1" applyBorder="1" applyAlignment="1" applyProtection="1">
      <protection locked="0"/>
    </xf>
    <xf numFmtId="0" fontId="6" fillId="0" borderId="1" xfId="2" applyNumberFormat="1" applyFont="1" applyBorder="1" applyAlignment="1" applyProtection="1">
      <alignment horizontal="center"/>
      <protection locked="0"/>
    </xf>
    <xf numFmtId="0" fontId="41" fillId="0" borderId="0" xfId="2" applyNumberFormat="1" applyFont="1" applyBorder="1" applyAlignment="1"/>
    <xf numFmtId="0" fontId="16" fillId="0" borderId="0" xfId="2" applyFont="1" applyBorder="1" applyAlignment="1"/>
    <xf numFmtId="0" fontId="11" fillId="0" borderId="5" xfId="2" applyNumberFormat="1" applyFont="1" applyBorder="1" applyAlignment="1">
      <alignment horizontal="right"/>
    </xf>
    <xf numFmtId="2" fontId="40" fillId="0" borderId="0" xfId="2" applyNumberFormat="1" applyFont="1" applyBorder="1" applyAlignment="1"/>
    <xf numFmtId="2" fontId="39" fillId="0" borderId="0" xfId="2" applyNumberFormat="1" applyFont="1" applyBorder="1" applyAlignment="1">
      <alignment horizontal="right"/>
    </xf>
    <xf numFmtId="179" fontId="41" fillId="0" borderId="3" xfId="2" applyNumberFormat="1" applyFont="1" applyBorder="1" applyAlignment="1"/>
    <xf numFmtId="183" fontId="41" fillId="0" borderId="0" xfId="2" applyNumberFormat="1" applyFont="1" applyBorder="1" applyAlignment="1"/>
    <xf numFmtId="1" fontId="39" fillId="0" borderId="0" xfId="2" applyNumberFormat="1" applyFont="1" applyBorder="1" applyAlignment="1">
      <alignment horizontal="left"/>
    </xf>
    <xf numFmtId="178" fontId="7" fillId="0" borderId="0" xfId="2" applyNumberFormat="1" applyFont="1" applyBorder="1" applyAlignment="1">
      <alignment horizontal="center"/>
    </xf>
    <xf numFmtId="0" fontId="10" fillId="0" borderId="0" xfId="2" applyNumberFormat="1" applyFont="1" applyAlignment="1" applyProtection="1">
      <alignment horizontal="center"/>
      <protection locked="0"/>
    </xf>
    <xf numFmtId="0" fontId="10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NumberFormat="1" applyFont="1" applyBorder="1" applyAlignment="1"/>
    <xf numFmtId="0" fontId="10" fillId="0" borderId="0" xfId="2" applyNumberFormat="1" applyFont="1" applyAlignment="1" applyProtection="1">
      <protection locked="0"/>
    </xf>
    <xf numFmtId="0" fontId="7" fillId="0" borderId="5" xfId="2" applyFont="1" applyBorder="1" applyAlignment="1">
      <alignment horizontal="center"/>
    </xf>
    <xf numFmtId="0" fontId="10" fillId="0" borderId="5" xfId="2" applyNumberFormat="1" applyFont="1" applyBorder="1" applyAlignment="1" applyProtection="1">
      <protection locked="0"/>
    </xf>
    <xf numFmtId="2" fontId="40" fillId="0" borderId="0" xfId="2" applyNumberFormat="1" applyFont="1" applyAlignment="1" applyProtection="1">
      <alignment horizontal="center"/>
      <protection locked="0"/>
    </xf>
    <xf numFmtId="1" fontId="7" fillId="0" borderId="0" xfId="2" applyNumberFormat="1" applyFont="1" applyBorder="1" applyAlignment="1">
      <alignment horizontal="center"/>
    </xf>
    <xf numFmtId="0" fontId="10" fillId="0" borderId="0" xfId="2" applyNumberFormat="1" applyFont="1" applyFill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40" fillId="0" borderId="0" xfId="2" quotePrefix="1" applyNumberFormat="1" applyFont="1" applyBorder="1" applyAlignment="1" applyProtection="1">
      <protection locked="0"/>
    </xf>
    <xf numFmtId="185" fontId="40" fillId="0" borderId="9" xfId="2" applyNumberFormat="1" applyFont="1" applyBorder="1" applyAlignment="1"/>
    <xf numFmtId="181" fontId="41" fillId="0" borderId="5" xfId="2" applyNumberFormat="1" applyFont="1" applyBorder="1" applyAlignment="1"/>
    <xf numFmtId="2" fontId="41" fillId="0" borderId="0" xfId="2" applyNumberFormat="1" applyFont="1" applyAlignment="1" applyProtection="1">
      <alignment horizontal="center"/>
      <protection locked="0"/>
    </xf>
    <xf numFmtId="2" fontId="41" fillId="0" borderId="5" xfId="2" applyNumberFormat="1" applyFont="1" applyBorder="1" applyAlignment="1" applyProtection="1">
      <alignment horizontal="center"/>
      <protection locked="0"/>
    </xf>
    <xf numFmtId="0" fontId="4" fillId="0" borderId="0" xfId="3" applyFont="1"/>
    <xf numFmtId="0" fontId="10" fillId="0" borderId="3" xfId="2" applyNumberFormat="1" applyFont="1" applyBorder="1" applyAlignment="1" applyProtection="1">
      <alignment horizontal="right"/>
      <protection locked="0"/>
    </xf>
    <xf numFmtId="0" fontId="43" fillId="0" borderId="9" xfId="2" applyNumberFormat="1" applyFont="1" applyFill="1" applyBorder="1" applyAlignment="1" applyProtection="1">
      <protection locked="0"/>
    </xf>
    <xf numFmtId="179" fontId="6" fillId="0" borderId="0" xfId="2" applyNumberFormat="1" applyFont="1" applyBorder="1" applyAlignment="1" applyProtection="1">
      <protection locked="0"/>
    </xf>
    <xf numFmtId="179" fontId="6" fillId="0" borderId="0" xfId="2" applyNumberFormat="1" applyFont="1" applyAlignment="1" applyProtection="1">
      <protection locked="0"/>
    </xf>
    <xf numFmtId="2" fontId="44" fillId="0" borderId="2" xfId="2" applyNumberFormat="1" applyFont="1" applyBorder="1" applyAlignment="1" applyProtection="1">
      <protection locked="0"/>
    </xf>
    <xf numFmtId="0" fontId="38" fillId="0" borderId="0" xfId="0" applyFont="1"/>
    <xf numFmtId="0" fontId="5" fillId="0" borderId="11" xfId="2" applyFont="1" applyBorder="1" applyAlignment="1"/>
    <xf numFmtId="178" fontId="28" fillId="0" borderId="0" xfId="2" applyNumberFormat="1" applyFont="1" applyAlignment="1" applyProtection="1">
      <protection locked="0"/>
    </xf>
    <xf numFmtId="0" fontId="37" fillId="0" borderId="0" xfId="0" applyFont="1" applyAlignment="1"/>
    <xf numFmtId="0" fontId="2" fillId="0" borderId="0" xfId="1" applyAlignment="1" applyProtection="1"/>
    <xf numFmtId="2" fontId="16" fillId="0" borderId="0" xfId="2" applyNumberFormat="1" applyFont="1" applyBorder="1" applyAlignment="1"/>
    <xf numFmtId="0" fontId="37" fillId="0" borderId="0" xfId="0" applyFont="1" applyBorder="1"/>
    <xf numFmtId="1" fontId="6" fillId="0" borderId="0" xfId="2" applyNumberFormat="1" applyFont="1" applyAlignment="1" applyProtection="1">
      <protection locked="0"/>
    </xf>
    <xf numFmtId="0" fontId="5" fillId="0" borderId="9" xfId="2" applyNumberFormat="1" applyFont="1" applyBorder="1" applyAlignment="1" applyProtection="1">
      <alignment horizontal="right"/>
      <protection locked="0"/>
    </xf>
    <xf numFmtId="0" fontId="7" fillId="0" borderId="0" xfId="2" applyFont="1" applyBorder="1" applyAlignment="1"/>
    <xf numFmtId="0" fontId="9" fillId="0" borderId="5" xfId="2" applyFont="1" applyBorder="1" applyAlignment="1"/>
    <xf numFmtId="15" fontId="37" fillId="0" borderId="0" xfId="0" applyNumberFormat="1" applyFont="1" applyBorder="1" applyAlignment="1">
      <alignment horizontal="center"/>
    </xf>
    <xf numFmtId="197" fontId="6" fillId="0" borderId="9" xfId="2" applyNumberFormat="1" applyFont="1" applyBorder="1" applyAlignment="1" applyProtection="1">
      <protection locked="0"/>
    </xf>
    <xf numFmtId="2" fontId="16" fillId="0" borderId="0" xfId="3" applyNumberFormat="1" applyFont="1"/>
    <xf numFmtId="209" fontId="41" fillId="0" borderId="0" xfId="2" applyNumberFormat="1" applyFont="1" applyAlignment="1" applyProtection="1">
      <protection locked="0"/>
    </xf>
    <xf numFmtId="0" fontId="23" fillId="0" borderId="0" xfId="2" applyFont="1" applyBorder="1" applyAlignment="1"/>
    <xf numFmtId="178" fontId="23" fillId="0" borderId="0" xfId="2" applyNumberFormat="1" applyFont="1" applyBorder="1" applyAlignment="1" applyProtection="1">
      <protection locked="0"/>
    </xf>
    <xf numFmtId="2" fontId="23" fillId="0" borderId="0" xfId="2" applyNumberFormat="1" applyFont="1" applyBorder="1" applyAlignment="1"/>
    <xf numFmtId="2" fontId="19" fillId="0" borderId="0" xfId="2" applyNumberFormat="1" applyFont="1" applyBorder="1" applyAlignment="1"/>
    <xf numFmtId="0" fontId="45" fillId="0" borderId="0" xfId="0" applyFont="1"/>
    <xf numFmtId="0" fontId="46" fillId="0" borderId="0" xfId="0" applyFont="1" applyBorder="1"/>
    <xf numFmtId="0" fontId="46" fillId="0" borderId="0" xfId="2" applyFont="1" applyBorder="1" applyAlignment="1">
      <alignment horizontal="center"/>
    </xf>
    <xf numFmtId="187" fontId="19" fillId="0" borderId="0" xfId="2" applyNumberFormat="1" applyFont="1" applyBorder="1" applyAlignment="1"/>
    <xf numFmtId="0" fontId="46" fillId="0" borderId="0" xfId="0" applyFont="1" applyAlignment="1">
      <alignment horizontal="center"/>
    </xf>
    <xf numFmtId="0" fontId="19" fillId="0" borderId="0" xfId="2" applyNumberFormat="1" applyFont="1" applyAlignment="1" applyProtection="1">
      <protection locked="0"/>
    </xf>
    <xf numFmtId="15" fontId="49" fillId="0" borderId="0" xfId="0" applyNumberFormat="1" applyFont="1"/>
    <xf numFmtId="0" fontId="48" fillId="0" borderId="0" xfId="0" applyFont="1"/>
    <xf numFmtId="0" fontId="49" fillId="0" borderId="0" xfId="0" applyFont="1" applyBorder="1"/>
    <xf numFmtId="2" fontId="21" fillId="0" borderId="2" xfId="2" applyNumberFormat="1" applyFont="1" applyBorder="1" applyAlignment="1">
      <alignment horizontal="center"/>
    </xf>
    <xf numFmtId="2" fontId="24" fillId="0" borderId="0" xfId="2" applyNumberFormat="1" applyFont="1" applyAlignment="1">
      <alignment horizontal="center"/>
    </xf>
    <xf numFmtId="2" fontId="21" fillId="0" borderId="0" xfId="2" applyNumberFormat="1" applyFont="1" applyAlignment="1">
      <alignment horizontal="center"/>
    </xf>
    <xf numFmtId="2" fontId="24" fillId="0" borderId="5" xfId="2" applyNumberFormat="1" applyFont="1" applyBorder="1" applyAlignment="1">
      <alignment horizontal="center"/>
    </xf>
    <xf numFmtId="178" fontId="16" fillId="0" borderId="0" xfId="3" applyNumberFormat="1" applyFont="1"/>
    <xf numFmtId="178" fontId="47" fillId="0" borderId="0" xfId="3" applyNumberFormat="1" applyFont="1"/>
    <xf numFmtId="0" fontId="47" fillId="0" borderId="3" xfId="2" applyFont="1" applyBorder="1" applyAlignment="1"/>
    <xf numFmtId="0" fontId="48" fillId="0" borderId="0" xfId="2" applyFont="1" applyAlignment="1">
      <alignment horizontal="left"/>
    </xf>
    <xf numFmtId="0" fontId="49" fillId="0" borderId="0" xfId="2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178" fontId="47" fillId="0" borderId="0" xfId="2" applyNumberFormat="1" applyFont="1" applyBorder="1" applyAlignment="1" applyProtection="1">
      <protection locked="0"/>
    </xf>
    <xf numFmtId="0" fontId="47" fillId="0" borderId="0" xfId="2" applyNumberFormat="1" applyFont="1" applyAlignment="1" applyProtection="1">
      <protection locked="0"/>
    </xf>
    <xf numFmtId="197" fontId="47" fillId="0" borderId="0" xfId="2" applyNumberFormat="1" applyFont="1" applyFill="1" applyBorder="1" applyAlignment="1"/>
    <xf numFmtId="3" fontId="47" fillId="0" borderId="0" xfId="2" applyNumberFormat="1" applyFont="1" applyBorder="1" applyAlignment="1"/>
    <xf numFmtId="2" fontId="47" fillId="0" borderId="0" xfId="3" applyNumberFormat="1" applyFont="1"/>
    <xf numFmtId="0" fontId="47" fillId="0" borderId="0" xfId="2" applyFont="1" applyBorder="1" applyAlignment="1"/>
    <xf numFmtId="2" fontId="47" fillId="0" borderId="0" xfId="2" applyNumberFormat="1" applyFont="1" applyAlignment="1" applyProtection="1">
      <protection locked="0"/>
    </xf>
    <xf numFmtId="189" fontId="47" fillId="0" borderId="0" xfId="2" applyNumberFormat="1" applyFont="1" applyBorder="1" applyAlignment="1"/>
    <xf numFmtId="0" fontId="3" fillId="0" borderId="4" xfId="2" applyNumberFormat="1" applyFont="1" applyBorder="1" applyAlignment="1" applyProtection="1">
      <protection locked="0"/>
    </xf>
    <xf numFmtId="211" fontId="16" fillId="0" borderId="5" xfId="2" applyNumberFormat="1" applyFont="1" applyBorder="1" applyAlignment="1" applyProtection="1">
      <protection locked="0"/>
    </xf>
    <xf numFmtId="0" fontId="3" fillId="0" borderId="13" xfId="2" applyNumberFormat="1" applyFont="1" applyBorder="1" applyAlignment="1" applyProtection="1">
      <protection locked="0"/>
    </xf>
    <xf numFmtId="0" fontId="3" fillId="0" borderId="11" xfId="2" applyNumberFormat="1" applyFont="1" applyBorder="1" applyAlignment="1" applyProtection="1">
      <alignment horizontal="right"/>
      <protection locked="0"/>
    </xf>
    <xf numFmtId="0" fontId="42" fillId="0" borderId="3" xfId="2" applyNumberFormat="1" applyFont="1" applyBorder="1" applyAlignment="1" applyProtection="1">
      <protection locked="0"/>
    </xf>
    <xf numFmtId="0" fontId="3" fillId="0" borderId="12" xfId="2" applyNumberFormat="1" applyFont="1" applyBorder="1" applyAlignment="1" applyProtection="1">
      <protection locked="0"/>
    </xf>
    <xf numFmtId="3" fontId="42" fillId="0" borderId="3" xfId="2" applyNumberFormat="1" applyFont="1" applyBorder="1" applyAlignment="1" applyProtection="1">
      <protection locked="0"/>
    </xf>
    <xf numFmtId="0" fontId="49" fillId="0" borderId="0" xfId="0" applyFont="1" applyAlignment="1"/>
    <xf numFmtId="0" fontId="49" fillId="0" borderId="0" xfId="0" applyFont="1"/>
    <xf numFmtId="0" fontId="26" fillId="0" borderId="0" xfId="1" applyFont="1" applyBorder="1" applyAlignment="1" applyProtection="1">
      <alignment horizontal="right"/>
    </xf>
    <xf numFmtId="0" fontId="2" fillId="0" borderId="0" xfId="1" applyBorder="1" applyAlignment="1" applyProtection="1"/>
    <xf numFmtId="185" fontId="40" fillId="0" borderId="0" xfId="2" applyNumberFormat="1" applyFont="1" applyBorder="1" applyAlignment="1"/>
    <xf numFmtId="2" fontId="41" fillId="0" borderId="5" xfId="2" applyNumberFormat="1" applyFont="1" applyBorder="1" applyAlignment="1"/>
    <xf numFmtId="178" fontId="50" fillId="0" borderId="14" xfId="2" applyNumberFormat="1" applyFont="1" applyBorder="1" applyAlignment="1">
      <alignment horizontal="center"/>
    </xf>
    <xf numFmtId="178" fontId="47" fillId="0" borderId="10" xfId="2" applyNumberFormat="1" applyFont="1" applyBorder="1" applyAlignment="1">
      <alignment horizontal="center"/>
    </xf>
    <xf numFmtId="178" fontId="50" fillId="0" borderId="10" xfId="2" applyNumberFormat="1" applyFont="1" applyBorder="1" applyAlignment="1">
      <alignment horizontal="center"/>
    </xf>
    <xf numFmtId="178" fontId="47" fillId="0" borderId="13" xfId="2" applyNumberFormat="1" applyFont="1" applyBorder="1" applyAlignment="1">
      <alignment horizontal="center"/>
    </xf>
    <xf numFmtId="0" fontId="51" fillId="0" borderId="15" xfId="2" applyFont="1" applyBorder="1" applyAlignment="1">
      <alignment horizontal="right"/>
    </xf>
    <xf numFmtId="0" fontId="51" fillId="0" borderId="7" xfId="2" applyFont="1" applyBorder="1" applyAlignment="1">
      <alignment horizontal="center"/>
    </xf>
    <xf numFmtId="0" fontId="51" fillId="0" borderId="10" xfId="2" applyFont="1" applyBorder="1" applyAlignment="1">
      <alignment horizontal="center"/>
    </xf>
    <xf numFmtId="0" fontId="51" fillId="0" borderId="10" xfId="2" applyNumberFormat="1" applyFont="1" applyBorder="1" applyAlignment="1" applyProtection="1">
      <alignment horizontal="center"/>
      <protection locked="0"/>
    </xf>
    <xf numFmtId="0" fontId="49" fillId="0" borderId="0" xfId="1" applyFont="1" applyBorder="1" applyAlignment="1" applyProtection="1"/>
    <xf numFmtId="0" fontId="52" fillId="0" borderId="0" xfId="1" applyNumberFormat="1" applyFont="1" applyBorder="1" applyAlignment="1">
      <alignment horizontal="right"/>
      <protection locked="0"/>
    </xf>
    <xf numFmtId="0" fontId="48" fillId="0" borderId="0" xfId="0" applyFont="1" applyAlignment="1">
      <alignment horizontal="right"/>
    </xf>
    <xf numFmtId="0" fontId="53" fillId="0" borderId="0" xfId="1" applyFont="1" applyAlignment="1" applyProtection="1"/>
    <xf numFmtId="0" fontId="49" fillId="0" borderId="3" xfId="2" applyNumberFormat="1" applyFont="1" applyBorder="1" applyAlignment="1" applyProtection="1">
      <alignment horizontal="center"/>
      <protection locked="0"/>
    </xf>
    <xf numFmtId="15" fontId="49" fillId="0" borderId="3" xfId="2" applyNumberFormat="1" applyFont="1" applyBorder="1" applyAlignment="1">
      <alignment horizontal="center"/>
    </xf>
    <xf numFmtId="15" fontId="49" fillId="0" borderId="0" xfId="0" applyNumberFormat="1" applyFont="1" applyBorder="1" applyAlignment="1">
      <alignment horizontal="center"/>
    </xf>
    <xf numFmtId="15" fontId="49" fillId="0" borderId="5" xfId="0" applyNumberFormat="1" applyFont="1" applyBorder="1" applyAlignment="1">
      <alignment horizontal="center"/>
    </xf>
    <xf numFmtId="2" fontId="33" fillId="0" borderId="0" xfId="1" applyNumberFormat="1" applyFont="1" applyAlignment="1" applyProtection="1"/>
    <xf numFmtId="0" fontId="31" fillId="0" borderId="0" xfId="0" applyFont="1" applyAlignment="1"/>
    <xf numFmtId="0" fontId="33" fillId="0" borderId="0" xfId="1" applyFont="1" applyAlignment="1" applyProtection="1"/>
    <xf numFmtId="15" fontId="37" fillId="0" borderId="0" xfId="0" applyNumberFormat="1" applyFont="1" applyBorder="1" applyAlignment="1">
      <alignment horizontal="center"/>
    </xf>
    <xf numFmtId="15" fontId="46" fillId="0" borderId="0" xfId="0" applyNumberFormat="1" applyFont="1" applyBorder="1" applyAlignment="1">
      <alignment horizontal="center"/>
    </xf>
    <xf numFmtId="0" fontId="3" fillId="0" borderId="11" xfId="2" applyNumberFormat="1" applyFont="1" applyBorder="1" applyAlignment="1" applyProtection="1">
      <alignment horizontal="center"/>
      <protection locked="0"/>
    </xf>
    <xf numFmtId="0" fontId="3" fillId="0" borderId="3" xfId="2" applyNumberFormat="1" applyFont="1" applyBorder="1" applyAlignment="1" applyProtection="1">
      <alignment horizontal="center"/>
      <protection locked="0"/>
    </xf>
    <xf numFmtId="15" fontId="5" fillId="0" borderId="3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2" fontId="5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15" fontId="5" fillId="0" borderId="0" xfId="2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5" fillId="0" borderId="0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5">
    <cellStyle name="Hyperlink" xfId="1" builtinId="8"/>
    <cellStyle name="Normal" xfId="0" builtinId="0"/>
    <cellStyle name="Normal_852_6_~1" xfId="2"/>
    <cellStyle name="Normal_B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'850S62_160'!$B$15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'850S62_160'!$B$18:$B$38</c:f>
              <c:numCache>
                <c:formatCode>0.00</c:formatCode>
                <c:ptCount val="21"/>
                <c:pt idx="0">
                  <c:v>6.2101630615535454E-2</c:v>
                </c:pt>
                <c:pt idx="1">
                  <c:v>6.5982982529006418E-2</c:v>
                </c:pt>
                <c:pt idx="2">
                  <c:v>6.9864334442477388E-2</c:v>
                </c:pt>
                <c:pt idx="3">
                  <c:v>7.3745686355948359E-2</c:v>
                </c:pt>
                <c:pt idx="4">
                  <c:v>7.7627038269419329E-2</c:v>
                </c:pt>
                <c:pt idx="5">
                  <c:v>8.15083901828903E-2</c:v>
                </c:pt>
                <c:pt idx="6">
                  <c:v>8.5389742096361271E-2</c:v>
                </c:pt>
                <c:pt idx="7">
                  <c:v>8.9271094009832241E-2</c:v>
                </c:pt>
                <c:pt idx="8">
                  <c:v>9.3152445923303198E-2</c:v>
                </c:pt>
                <c:pt idx="9">
                  <c:v>9.7033797836774169E-2</c:v>
                </c:pt>
                <c:pt idx="10">
                  <c:v>0.10091514975024514</c:v>
                </c:pt>
                <c:pt idx="11">
                  <c:v>0.10479650166371611</c:v>
                </c:pt>
                <c:pt idx="12">
                  <c:v>0.10867785357718708</c:v>
                </c:pt>
                <c:pt idx="13">
                  <c:v>0.11255920549065805</c:v>
                </c:pt>
                <c:pt idx="14">
                  <c:v>0.11644055740412901</c:v>
                </c:pt>
                <c:pt idx="15">
                  <c:v>0.12032190931759999</c:v>
                </c:pt>
                <c:pt idx="16">
                  <c:v>0.12420326123107096</c:v>
                </c:pt>
                <c:pt idx="17">
                  <c:v>0.12808461314454192</c:v>
                </c:pt>
                <c:pt idx="18">
                  <c:v>0.13196596505801289</c:v>
                </c:pt>
                <c:pt idx="19">
                  <c:v>0.13584731697148386</c:v>
                </c:pt>
                <c:pt idx="20">
                  <c:v>0.13972866888495483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A-415B-9648-E192FD6BCC08}"/>
            </c:ext>
          </c:extLst>
        </c:ser>
        <c:ser>
          <c:idx val="0"/>
          <c:order val="1"/>
          <c:tx>
            <c:strRef>
              <c:f>'850S62_160'!$J$14:$J$15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'850S62_160'!$J$18:$J$38</c:f>
              <c:numCache>
                <c:formatCode>0.00</c:formatCode>
                <c:ptCount val="21"/>
                <c:pt idx="0">
                  <c:v>1.711175939026697</c:v>
                </c:pt>
                <c:pt idx="1">
                  <c:v>1.8312242017745786</c:v>
                </c:pt>
                <c:pt idx="2">
                  <c:v>1.9590295767510826</c:v>
                </c:pt>
                <c:pt idx="3">
                  <c:v>2.0946065720031615</c:v>
                </c:pt>
                <c:pt idx="4">
                  <c:v>2.2379790508835402</c:v>
                </c:pt>
                <c:pt idx="5">
                  <c:v>2.3891861309029667</c:v>
                </c:pt>
                <c:pt idx="6">
                  <c:v>2.5482882656084604</c:v>
                </c:pt>
                <c:pt idx="7">
                  <c:v>2.7153735063110056</c:v>
                </c:pt>
                <c:pt idx="8">
                  <c:v>2.8905639964630705</c:v>
                </c:pt>
                <c:pt idx="9">
                  <c:v>3.07402280721726</c:v>
                </c:pt>
                <c:pt idx="10">
                  <c:v>3.265961279790877</c:v>
                </c:pt>
                <c:pt idx="11">
                  <c:v>3.4666471018462532</c:v>
                </c:pt>
                <c:pt idx="12">
                  <c:v>3.6764134158889923</c:v>
                </c:pt>
                <c:pt idx="13">
                  <c:v>3.8956693442922901</c:v>
                </c:pt>
                <c:pt idx="14">
                  <c:v>4.1249124271368736</c:v>
                </c:pt>
                <c:pt idx="15">
                  <c:v>4.3647436185111008</c:v>
                </c:pt>
                <c:pt idx="16">
                  <c:v>4.6158856928693757</c:v>
                </c:pt>
                <c:pt idx="17">
                  <c:v>4.8792062031357766</c:v>
                </c:pt>
                <c:pt idx="18">
                  <c:v>5.1557465485703737</c:v>
                </c:pt>
                <c:pt idx="19">
                  <c:v>5.4467593187897156</c:v>
                </c:pt>
                <c:pt idx="20">
                  <c:v>5.7537569862000781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A-415B-9648-E192FD6BCC08}"/>
            </c:ext>
          </c:extLst>
        </c:ser>
        <c:ser>
          <c:idx val="6"/>
          <c:order val="2"/>
          <c:tx>
            <c:strRef>
              <c:f>'850S62_160'!$L$14:$L$15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A-415B-9648-E192FD6BCC08}"/>
            </c:ext>
          </c:extLst>
        </c:ser>
        <c:ser>
          <c:idx val="3"/>
          <c:order val="3"/>
          <c:tx>
            <c:strRef>
              <c:f>'850S62_160'!$R$15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'850S62_160'!$R$18:$R$38</c:f>
              <c:numCache>
                <c:formatCode>0.00</c:formatCode>
                <c:ptCount val="21"/>
                <c:pt idx="0">
                  <c:v>0.13074795488063096</c:v>
                </c:pt>
                <c:pt idx="1">
                  <c:v>0.13329934270555768</c:v>
                </c:pt>
                <c:pt idx="2">
                  <c:v>0.136474230270653</c:v>
                </c:pt>
                <c:pt idx="3">
                  <c:v>0.14032727939120601</c:v>
                </c:pt>
                <c:pt idx="4">
                  <c:v>0.14492248299763794</c:v>
                </c:pt>
                <c:pt idx="5">
                  <c:v>0.15033575866521098</c:v>
                </c:pt>
                <c:pt idx="6">
                  <c:v>0.15665797559250852</c:v>
                </c:pt>
                <c:pt idx="7">
                  <c:v>0.1639986087789658</c:v>
                </c:pt>
                <c:pt idx="8">
                  <c:v>0.17249027148413443</c:v>
                </c:pt>
                <c:pt idx="9">
                  <c:v>0.18229446029459889</c:v>
                </c:pt>
                <c:pt idx="10">
                  <c:v>0.19360896944039671</c:v>
                </c:pt>
                <c:pt idx="11">
                  <c:v>0.20667761261569706</c:v>
                </c:pt>
                <c:pt idx="12">
                  <c:v>0.22180316364297123</c:v>
                </c:pt>
                <c:pt idx="13">
                  <c:v>0.23936484446009831</c:v>
                </c:pt>
                <c:pt idx="14">
                  <c:v>0.2598423382737709</c:v>
                </c:pt>
                <c:pt idx="15">
                  <c:v>0.28384933919837929</c:v>
                </c:pt>
                <c:pt idx="16">
                  <c:v>0.31218133690444383</c:v>
                </c:pt>
                <c:pt idx="17">
                  <c:v>0.34588517076249387</c:v>
                </c:pt>
                <c:pt idx="18">
                  <c:v>0.38636281719101917</c:v>
                </c:pt>
                <c:pt idx="19">
                  <c:v>0.43553077993036954</c:v>
                </c:pt>
                <c:pt idx="20">
                  <c:v>0.49607329003918221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A-415B-9648-E192FD6BCC08}"/>
            </c:ext>
          </c:extLst>
        </c:ser>
        <c:ser>
          <c:idx val="5"/>
          <c:order val="4"/>
          <c:tx>
            <c:strRef>
              <c:f>'850S62_160'!$N$14:$N$15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A-415B-9648-E192FD6BCC08}"/>
            </c:ext>
          </c:extLst>
        </c:ser>
        <c:ser>
          <c:idx val="2"/>
          <c:order val="5"/>
          <c:tx>
            <c:strRef>
              <c:f>'850S62_160'!$Q$15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'850S62_160'!$Q$18:$Q$38</c:f>
              <c:numCache>
                <c:formatCode>0.00</c:formatCode>
                <c:ptCount val="21"/>
                <c:pt idx="0">
                  <c:v>6.3549028915048358E-7</c:v>
                </c:pt>
                <c:pt idx="1">
                  <c:v>8.0984965362174683E-7</c:v>
                </c:pt>
                <c:pt idx="2">
                  <c:v>1.0178346604391071E-6</c:v>
                </c:pt>
                <c:pt idx="3">
                  <c:v>1.2635106140698131E-6</c:v>
                </c:pt>
                <c:pt idx="4">
                  <c:v>1.5511740232531487E-6</c:v>
                </c:pt>
                <c:pt idx="5">
                  <c:v>1.8853524269608924E-6</c:v>
                </c:pt>
                <c:pt idx="6">
                  <c:v>2.2708042019572135E-6</c:v>
                </c:pt>
                <c:pt idx="7">
                  <c:v>2.71251836255722E-6</c:v>
                </c:pt>
                <c:pt idx="8">
                  <c:v>3.215714347753734E-6</c:v>
                </c:pt>
                <c:pt idx="9">
                  <c:v>3.7858418014890418E-6</c:v>
                </c:pt>
                <c:pt idx="10">
                  <c:v>4.4285803470263328E-6</c:v>
                </c:pt>
                <c:pt idx="11">
                  <c:v>5.1498393438388755E-6</c:v>
                </c:pt>
                <c:pt idx="12">
                  <c:v>5.9557576405070715E-6</c:v>
                </c:pt>
                <c:pt idx="13">
                  <c:v>6.8527033168622789E-6</c:v>
                </c:pt>
                <c:pt idx="14">
                  <c:v>7.8472734163304745E-6</c:v>
                </c:pt>
                <c:pt idx="15">
                  <c:v>8.9462936703928102E-6</c:v>
                </c:pt>
                <c:pt idx="16">
                  <c:v>1.0156818209365035E-5</c:v>
                </c:pt>
                <c:pt idx="17">
                  <c:v>1.148612927201965E-5</c:v>
                </c:pt>
                <c:pt idx="18">
                  <c:v>1.2941736896680091E-5</c:v>
                </c:pt>
                <c:pt idx="19">
                  <c:v>1.4531378608238651E-5</c:v>
                </c:pt>
                <c:pt idx="20">
                  <c:v>1.6263019096262948E-5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A-415B-9648-E192FD6BCC08}"/>
            </c:ext>
          </c:extLst>
        </c:ser>
        <c:ser>
          <c:idx val="4"/>
          <c:order val="6"/>
          <c:tx>
            <c:strRef>
              <c:f>'850S62_160'!$S$14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'850S62_160'!$S$18:$S$38</c:f>
              <c:numCache>
                <c:formatCode>0.00</c:formatCode>
                <c:ptCount val="21"/>
                <c:pt idx="0">
                  <c:v>0.11362485319549112</c:v>
                </c:pt>
                <c:pt idx="1">
                  <c:v>0.12450359135447267</c:v>
                </c:pt>
                <c:pt idx="2">
                  <c:v>0.13691542436233387</c:v>
                </c:pt>
                <c:pt idx="3">
                  <c:v>0.15108546044151397</c:v>
                </c:pt>
                <c:pt idx="4">
                  <c:v>0.16728500581991387</c:v>
                </c:pt>
                <c:pt idx="5">
                  <c:v>0.1858436623538198</c:v>
                </c:pt>
                <c:pt idx="6">
                  <c:v>0.20716533805226159</c:v>
                </c:pt>
                <c:pt idx="7">
                  <c:v>0.23174975018208568</c:v>
                </c:pt>
                <c:pt idx="8">
                  <c:v>0.26022177444142958</c:v>
                </c:pt>
                <c:pt idx="9">
                  <c:v>0.29337222551208875</c:v>
                </c:pt>
                <c:pt idx="10">
                  <c:v>0.33221566972903072</c:v>
                </c:pt>
                <c:pt idx="11">
                  <c:v>0.37807427197481458</c:v>
                </c:pt>
                <c:pt idx="12">
                  <c:v>0.43270262654263247</c:v>
                </c:pt>
                <c:pt idx="13">
                  <c:v>0.49847935733866844</c:v>
                </c:pt>
                <c:pt idx="14">
                  <c:v>0.57871198587036399</c:v>
                </c:pt>
                <c:pt idx="15">
                  <c:v>0.67814349154391507</c:v>
                </c:pt>
                <c:pt idx="16">
                  <c:v>0.8038399510817178</c:v>
                </c:pt>
                <c:pt idx="17">
                  <c:v>0.96685376286058056</c:v>
                </c:pt>
                <c:pt idx="18">
                  <c:v>1.1856251664089852</c:v>
                </c:pt>
                <c:pt idx="19">
                  <c:v>1.49382523921274</c:v>
                </c:pt>
                <c:pt idx="20">
                  <c:v>1.9619356914032182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A-415B-9648-E192FD6BCC08}"/>
            </c:ext>
          </c:extLst>
        </c:ser>
        <c:ser>
          <c:idx val="8"/>
          <c:order val="7"/>
          <c:tx>
            <c:strRef>
              <c:f>'850S62_160'!$T$14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'850S62_160'!$T$18:$T$38</c:f>
              <c:numCache>
                <c:formatCode>0.0</c:formatCode>
                <c:ptCount val="21"/>
                <c:pt idx="0">
                  <c:v>2.1676510132086437</c:v>
                </c:pt>
                <c:pt idx="1">
                  <c:v>2.3050109282132687</c:v>
                </c:pt>
                <c:pt idx="2">
                  <c:v>2.4522845836612071</c:v>
                </c:pt>
                <c:pt idx="3">
                  <c:v>2.6097662617024433</c:v>
                </c:pt>
                <c:pt idx="4">
                  <c:v>2.777815129144535</c:v>
                </c:pt>
                <c:pt idx="5">
                  <c:v>2.9568758274573148</c:v>
                </c:pt>
                <c:pt idx="6">
                  <c:v>3.1475035921537939</c:v>
                </c:pt>
                <c:pt idx="7">
                  <c:v>3.3503956718002517</c:v>
                </c:pt>
                <c:pt idx="8">
                  <c:v>3.5664317040262854</c:v>
                </c:pt>
                <c:pt idx="9">
                  <c:v>3.7967270767025232</c:v>
                </c:pt>
                <c:pt idx="10">
                  <c:v>4.0427054972908962</c:v>
                </c:pt>
                <c:pt idx="11">
                  <c:v>4.3062006379398259</c:v>
                </c:pt>
                <c:pt idx="12">
                  <c:v>4.5896030154094243</c:v>
                </c:pt>
                <c:pt idx="13">
                  <c:v>4.8960796042850321</c:v>
                </c:pt>
                <c:pt idx="14">
                  <c:v>5.2299151559585537</c:v>
                </c:pt>
                <c:pt idx="15">
                  <c:v>5.597067304864666</c:v>
                </c:pt>
                <c:pt idx="16">
                  <c:v>6.0061203989048177</c:v>
                </c:pt>
                <c:pt idx="17">
                  <c:v>6.4700412360326647</c:v>
                </c:pt>
                <c:pt idx="18">
                  <c:v>7.0097134389652878</c:v>
                </c:pt>
                <c:pt idx="19">
                  <c:v>7.6619771862829165</c:v>
                </c:pt>
                <c:pt idx="20">
                  <c:v>8.5015108995465294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A-415B-9648-E192FD6BCC08}"/>
            </c:ext>
          </c:extLst>
        </c:ser>
        <c:ser>
          <c:idx val="7"/>
          <c:order val="8"/>
          <c:tx>
            <c:strRef>
              <c:f>'850S62_160'!$AL$15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'850S62_160'!$AL$18:$AL$38</c:f>
              <c:numCache>
                <c:formatCode>General</c:formatCode>
                <c:ptCount val="21"/>
                <c:pt idx="0">
                  <c:v>4.96</c:v>
                </c:pt>
                <c:pt idx="1">
                  <c:v>4.96</c:v>
                </c:pt>
                <c:pt idx="2">
                  <c:v>4.96</c:v>
                </c:pt>
                <c:pt idx="3">
                  <c:v>4.96</c:v>
                </c:pt>
                <c:pt idx="4">
                  <c:v>4.96</c:v>
                </c:pt>
                <c:pt idx="5">
                  <c:v>4.96</c:v>
                </c:pt>
                <c:pt idx="6">
                  <c:v>4.96</c:v>
                </c:pt>
                <c:pt idx="7">
                  <c:v>4.96</c:v>
                </c:pt>
                <c:pt idx="8">
                  <c:v>4.96</c:v>
                </c:pt>
                <c:pt idx="9">
                  <c:v>4.96</c:v>
                </c:pt>
                <c:pt idx="10">
                  <c:v>4.96</c:v>
                </c:pt>
                <c:pt idx="11">
                  <c:v>4.96</c:v>
                </c:pt>
                <c:pt idx="12">
                  <c:v>4.96</c:v>
                </c:pt>
                <c:pt idx="13">
                  <c:v>4.96</c:v>
                </c:pt>
                <c:pt idx="14">
                  <c:v>4.96</c:v>
                </c:pt>
                <c:pt idx="15">
                  <c:v>4.96</c:v>
                </c:pt>
                <c:pt idx="16">
                  <c:v>4.96</c:v>
                </c:pt>
                <c:pt idx="17">
                  <c:v>4.96</c:v>
                </c:pt>
                <c:pt idx="18">
                  <c:v>4.96</c:v>
                </c:pt>
                <c:pt idx="19">
                  <c:v>4.96</c:v>
                </c:pt>
                <c:pt idx="2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A-415B-9648-E192FD6BCC08}"/>
            </c:ext>
          </c:extLst>
        </c:ser>
        <c:ser>
          <c:idx val="9"/>
          <c:order val="9"/>
          <c:tx>
            <c:strRef>
              <c:f>'850S62_160'!$AN$16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'850S62_160'!$AM$18:$AM$38</c:f>
              <c:numCache>
                <c:formatCode>General</c:formatCode>
                <c:ptCount val="21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</c:numCache>
            </c:numRef>
          </c:xVal>
          <c:yVal>
            <c:numRef>
              <c:f>'850S62_160'!$AN$18:$AN$38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A-415B-9648-E192FD6BCC08}"/>
            </c:ext>
          </c:extLst>
        </c:ser>
        <c:ser>
          <c:idx val="10"/>
          <c:order val="10"/>
          <c:tx>
            <c:strRef>
              <c:f>'850S62_160'!$M$14:$M$15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'850S62_160'!$A$18:$A$38</c:f>
              <c:numCache>
                <c:formatCode>0.00#</c:formatCode>
                <c:ptCount val="21"/>
                <c:pt idx="0">
                  <c:v>1.6E-2</c:v>
                </c:pt>
                <c:pt idx="1">
                  <c:v>1.7000000000000001E-2</c:v>
                </c:pt>
                <c:pt idx="2">
                  <c:v>1.8000000000000002E-2</c:v>
                </c:pt>
                <c:pt idx="3">
                  <c:v>1.9000000000000003E-2</c:v>
                </c:pt>
                <c:pt idx="4">
                  <c:v>2.0000000000000004E-2</c:v>
                </c:pt>
                <c:pt idx="5">
                  <c:v>2.1000000000000005E-2</c:v>
                </c:pt>
                <c:pt idx="6">
                  <c:v>2.2000000000000006E-2</c:v>
                </c:pt>
                <c:pt idx="7">
                  <c:v>2.3000000000000007E-2</c:v>
                </c:pt>
                <c:pt idx="8">
                  <c:v>2.4000000000000007E-2</c:v>
                </c:pt>
                <c:pt idx="9">
                  <c:v>2.5000000000000008E-2</c:v>
                </c:pt>
                <c:pt idx="10">
                  <c:v>2.6000000000000009E-2</c:v>
                </c:pt>
                <c:pt idx="11">
                  <c:v>2.700000000000001E-2</c:v>
                </c:pt>
                <c:pt idx="12">
                  <c:v>2.8000000000000011E-2</c:v>
                </c:pt>
                <c:pt idx="13">
                  <c:v>2.9000000000000012E-2</c:v>
                </c:pt>
                <c:pt idx="14">
                  <c:v>3.0000000000000013E-2</c:v>
                </c:pt>
                <c:pt idx="15">
                  <c:v>3.1000000000000014E-2</c:v>
                </c:pt>
                <c:pt idx="16">
                  <c:v>3.2000000000000015E-2</c:v>
                </c:pt>
                <c:pt idx="17">
                  <c:v>3.3000000000000015E-2</c:v>
                </c:pt>
                <c:pt idx="18">
                  <c:v>3.4000000000000016E-2</c:v>
                </c:pt>
                <c:pt idx="19">
                  <c:v>3.5000000000000017E-2</c:v>
                </c:pt>
                <c:pt idx="20">
                  <c:v>3.6000000000000018E-2</c:v>
                </c:pt>
              </c:numCache>
            </c:numRef>
          </c:xVal>
          <c:yVal>
            <c:numRef>
              <c:f>'850S62_160'!$M$18:$M$38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4A-415B-9648-E192FD6B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8319"/>
        <c:axId val="1"/>
      </c:scatterChart>
      <c:valAx>
        <c:axId val="946838319"/>
        <c:scaling>
          <c:orientation val="minMax"/>
          <c:min val="1.4999999999999999E-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831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F-4A63-A0AB-0BAB62DA9459}"/>
            </c:ext>
          </c:extLst>
        </c:ser>
        <c:ser>
          <c:idx val="1"/>
          <c:order val="1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F-4A63-A0AB-0BAB62DA9459}"/>
            </c:ext>
          </c:extLst>
        </c:ser>
        <c:ser>
          <c:idx val="2"/>
          <c:order val="2"/>
          <c:tx>
            <c:strRef>
              <c:f>'850S2000'!$AD$40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'850S2000'!$AD$41:$AD$71</c:f>
              <c:numCache>
                <c:formatCode>0%</c:formatCode>
                <c:ptCount val="31"/>
                <c:pt idx="0">
                  <c:v>0.15544115620356053</c:v>
                </c:pt>
                <c:pt idx="1">
                  <c:v>0.20241759331677506</c:v>
                </c:pt>
                <c:pt idx="2">
                  <c:v>0.25698728652501318</c:v>
                </c:pt>
                <c:pt idx="3">
                  <c:v>0.31835421559328647</c:v>
                </c:pt>
                <c:pt idx="4">
                  <c:v>0.38516225479174399</c:v>
                </c:pt>
                <c:pt idx="5">
                  <c:v>0.45557228437677866</c:v>
                </c:pt>
                <c:pt idx="6">
                  <c:v>0.52740988215706064</c:v>
                </c:pt>
                <c:pt idx="7">
                  <c:v>0.59836448139050968</c:v>
                </c:pt>
                <c:pt idx="8">
                  <c:v>0.66620993893539282</c:v>
                </c:pt>
                <c:pt idx="9">
                  <c:v>0.72901179344794198</c:v>
                </c:pt>
                <c:pt idx="10">
                  <c:v>0.78528940016607651</c:v>
                </c:pt>
                <c:pt idx="11">
                  <c:v>0.83411079883302985</c:v>
                </c:pt>
                <c:pt idx="12">
                  <c:v>0.87511196807972524</c:v>
                </c:pt>
                <c:pt idx="13">
                  <c:v>0.9084464471331184</c:v>
                </c:pt>
                <c:pt idx="14">
                  <c:v>0.93468274079195401</c:v>
                </c:pt>
                <c:pt idx="15">
                  <c:v>0.95467319420421015</c:v>
                </c:pt>
                <c:pt idx="16">
                  <c:v>0.96941851152263903</c:v>
                </c:pt>
                <c:pt idx="17">
                  <c:v>0.97994774802315998</c:v>
                </c:pt>
                <c:pt idx="18">
                  <c:v>0.98722639868607887</c:v>
                </c:pt>
                <c:pt idx="19">
                  <c:v>0.99209737551562327</c:v>
                </c:pt>
                <c:pt idx="20">
                  <c:v>0.99525305142426612</c:v>
                </c:pt>
                <c:pt idx="21">
                  <c:v>0.99723220645495592</c:v>
                </c:pt>
                <c:pt idx="22">
                  <c:v>0.9984338572204452</c:v>
                </c:pt>
                <c:pt idx="23">
                  <c:v>0.99914015475778628</c:v>
                </c:pt>
                <c:pt idx="24">
                  <c:v>0.99954204551983339</c:v>
                </c:pt>
                <c:pt idx="25">
                  <c:v>0.99976342593296008</c:v>
                </c:pt>
                <c:pt idx="26">
                  <c:v>0.99988148004799571</c:v>
                </c:pt>
                <c:pt idx="27">
                  <c:v>0.99994242444113346</c:v>
                </c:pt>
                <c:pt idx="28">
                  <c:v>0.9999728821334215</c:v>
                </c:pt>
                <c:pt idx="29">
                  <c:v>0.99998761783305334</c:v>
                </c:pt>
                <c:pt idx="30">
                  <c:v>0.99999451951540719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F-4A63-A0AB-0BAB62DA9459}"/>
            </c:ext>
          </c:extLst>
        </c:ser>
        <c:ser>
          <c:idx val="3"/>
          <c:order val="3"/>
          <c:tx>
            <c:strRef>
              <c:f>'850S2000'!$AE$40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'850S2000'!$AE$41:$AE$71</c:f>
              <c:numCache>
                <c:formatCode>0%</c:formatCode>
                <c:ptCount val="31"/>
                <c:pt idx="0">
                  <c:v>0.99999451951540719</c:v>
                </c:pt>
                <c:pt idx="1">
                  <c:v>0.99998761783305334</c:v>
                </c:pt>
                <c:pt idx="2">
                  <c:v>0.9999728821334215</c:v>
                </c:pt>
                <c:pt idx="3">
                  <c:v>0.99994242444113346</c:v>
                </c:pt>
                <c:pt idx="4">
                  <c:v>0.99988148004799571</c:v>
                </c:pt>
                <c:pt idx="5">
                  <c:v>0.99976342593296008</c:v>
                </c:pt>
                <c:pt idx="6">
                  <c:v>0.99954204551983339</c:v>
                </c:pt>
                <c:pt idx="7">
                  <c:v>0.99914015475778628</c:v>
                </c:pt>
                <c:pt idx="8">
                  <c:v>0.9984338572204452</c:v>
                </c:pt>
                <c:pt idx="9">
                  <c:v>0.99723220645495592</c:v>
                </c:pt>
                <c:pt idx="10">
                  <c:v>0.99525305142426612</c:v>
                </c:pt>
                <c:pt idx="11">
                  <c:v>0.99209737551562316</c:v>
                </c:pt>
                <c:pt idx="12">
                  <c:v>0.98722639868607887</c:v>
                </c:pt>
                <c:pt idx="13">
                  <c:v>0.97994774802315998</c:v>
                </c:pt>
                <c:pt idx="14">
                  <c:v>0.96941851152263903</c:v>
                </c:pt>
                <c:pt idx="15">
                  <c:v>0.95467319420421015</c:v>
                </c:pt>
                <c:pt idx="16">
                  <c:v>0.93468274079195401</c:v>
                </c:pt>
                <c:pt idx="17">
                  <c:v>0.9084464471331184</c:v>
                </c:pt>
                <c:pt idx="18">
                  <c:v>0.87511196807972536</c:v>
                </c:pt>
                <c:pt idx="19">
                  <c:v>0.83411079883302985</c:v>
                </c:pt>
                <c:pt idx="20">
                  <c:v>0.78528940016607629</c:v>
                </c:pt>
                <c:pt idx="21">
                  <c:v>0.72901179344794187</c:v>
                </c:pt>
                <c:pt idx="22">
                  <c:v>0.6662099389353926</c:v>
                </c:pt>
                <c:pt idx="23">
                  <c:v>0.59836448139050946</c:v>
                </c:pt>
                <c:pt idx="24">
                  <c:v>0.52740988215706019</c:v>
                </c:pt>
                <c:pt idx="25">
                  <c:v>0.45557228437677821</c:v>
                </c:pt>
                <c:pt idx="26">
                  <c:v>0.38516225479174371</c:v>
                </c:pt>
                <c:pt idx="27">
                  <c:v>0.31835421559328614</c:v>
                </c:pt>
                <c:pt idx="28">
                  <c:v>0.25698728652501301</c:v>
                </c:pt>
                <c:pt idx="29">
                  <c:v>0.20241759331677478</c:v>
                </c:pt>
                <c:pt idx="30">
                  <c:v>0.15544115620356025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F-4A63-A0AB-0BAB62DA9459}"/>
            </c:ext>
          </c:extLst>
        </c:ser>
        <c:ser>
          <c:idx val="4"/>
          <c:order val="4"/>
          <c:tx>
            <c:strRef>
              <c:f>'850S2000'!$AF$40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F-4A63-A0AB-0BAB62DA9459}"/>
            </c:ext>
          </c:extLst>
        </c:ser>
        <c:ser>
          <c:idx val="5"/>
          <c:order val="5"/>
          <c:tx>
            <c:strRef>
              <c:f>'850S2000'!$AG$40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'850S2000'!$AG$41:$AG$71</c:f>
              <c:numCache>
                <c:formatCode>0%</c:formatCode>
                <c:ptCount val="31"/>
                <c:pt idx="0">
                  <c:v>0.84455884379643953</c:v>
                </c:pt>
                <c:pt idx="1">
                  <c:v>0.79758240668322489</c:v>
                </c:pt>
                <c:pt idx="2">
                  <c:v>0.74301271347498687</c:v>
                </c:pt>
                <c:pt idx="3">
                  <c:v>0.68164578440671353</c:v>
                </c:pt>
                <c:pt idx="4">
                  <c:v>0.61483774520825607</c:v>
                </c:pt>
                <c:pt idx="5">
                  <c:v>0.54442771562322134</c:v>
                </c:pt>
                <c:pt idx="6">
                  <c:v>0.47259011784293936</c:v>
                </c:pt>
                <c:pt idx="7">
                  <c:v>0.40163551860949032</c:v>
                </c:pt>
                <c:pt idx="8">
                  <c:v>0.33379006106460718</c:v>
                </c:pt>
                <c:pt idx="9">
                  <c:v>0.27098820655205802</c:v>
                </c:pt>
                <c:pt idx="10">
                  <c:v>0.21471059983392349</c:v>
                </c:pt>
                <c:pt idx="11">
                  <c:v>0.16588920116697015</c:v>
                </c:pt>
                <c:pt idx="12">
                  <c:v>0.12488803192027476</c:v>
                </c:pt>
                <c:pt idx="13">
                  <c:v>9.1553552866881605E-2</c:v>
                </c:pt>
                <c:pt idx="14">
                  <c:v>6.5317259208045986E-2</c:v>
                </c:pt>
                <c:pt idx="15">
                  <c:v>4.5326805795789848E-2</c:v>
                </c:pt>
                <c:pt idx="16">
                  <c:v>3.0581488477360974E-2</c:v>
                </c:pt>
                <c:pt idx="17">
                  <c:v>2.0052251976840019E-2</c:v>
                </c:pt>
                <c:pt idx="18">
                  <c:v>1.2773601313921135E-2</c:v>
                </c:pt>
                <c:pt idx="19">
                  <c:v>7.9026244843767302E-3</c:v>
                </c:pt>
                <c:pt idx="20">
                  <c:v>4.7469485757338781E-3</c:v>
                </c:pt>
                <c:pt idx="21">
                  <c:v>2.7677935450440838E-3</c:v>
                </c:pt>
                <c:pt idx="22">
                  <c:v>1.5661427795548022E-3</c:v>
                </c:pt>
                <c:pt idx="23">
                  <c:v>8.5984524221371927E-4</c:v>
                </c:pt>
                <c:pt idx="24">
                  <c:v>4.5795448016661133E-4</c:v>
                </c:pt>
                <c:pt idx="25">
                  <c:v>2.3657406703991857E-4</c:v>
                </c:pt>
                <c:pt idx="26">
                  <c:v>1.1851995200429233E-4</c:v>
                </c:pt>
                <c:pt idx="27">
                  <c:v>5.7575558866540533E-5</c:v>
                </c:pt>
                <c:pt idx="28">
                  <c:v>2.7117866578496574E-5</c:v>
                </c:pt>
                <c:pt idx="29">
                  <c:v>1.238216694665617E-5</c:v>
                </c:pt>
                <c:pt idx="30">
                  <c:v>5.4804845928124735E-6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F-4A63-A0AB-0BAB62DA9459}"/>
            </c:ext>
          </c:extLst>
        </c:ser>
        <c:ser>
          <c:idx val="6"/>
          <c:order val="6"/>
          <c:tx>
            <c:strRef>
              <c:f>'850S2000'!$AH$40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'850S2000'!$AH$41:$AH$71</c:f>
              <c:numCache>
                <c:formatCode>0%</c:formatCode>
                <c:ptCount val="31"/>
                <c:pt idx="0">
                  <c:v>5.4804845928124735E-6</c:v>
                </c:pt>
                <c:pt idx="1">
                  <c:v>1.238216694665617E-5</c:v>
                </c:pt>
                <c:pt idx="2">
                  <c:v>2.7117866578496574E-5</c:v>
                </c:pt>
                <c:pt idx="3">
                  <c:v>5.7575558866540533E-5</c:v>
                </c:pt>
                <c:pt idx="4">
                  <c:v>1.1851995200429233E-4</c:v>
                </c:pt>
                <c:pt idx="5">
                  <c:v>2.3657406703991857E-4</c:v>
                </c:pt>
                <c:pt idx="6">
                  <c:v>4.5795448016661133E-4</c:v>
                </c:pt>
                <c:pt idx="7">
                  <c:v>8.5984524221371927E-4</c:v>
                </c:pt>
                <c:pt idx="8">
                  <c:v>1.5661427795548022E-3</c:v>
                </c:pt>
                <c:pt idx="9">
                  <c:v>2.7677935450440838E-3</c:v>
                </c:pt>
                <c:pt idx="10">
                  <c:v>4.7469485757338781E-3</c:v>
                </c:pt>
                <c:pt idx="11">
                  <c:v>7.9026244843768412E-3</c:v>
                </c:pt>
                <c:pt idx="12">
                  <c:v>1.2773601313921135E-2</c:v>
                </c:pt>
                <c:pt idx="13">
                  <c:v>2.0052251976840019E-2</c:v>
                </c:pt>
                <c:pt idx="14">
                  <c:v>3.0581488477360974E-2</c:v>
                </c:pt>
                <c:pt idx="15">
                  <c:v>4.5326805795789848E-2</c:v>
                </c:pt>
                <c:pt idx="16">
                  <c:v>6.5317259208045986E-2</c:v>
                </c:pt>
                <c:pt idx="17">
                  <c:v>9.1553552866881605E-2</c:v>
                </c:pt>
                <c:pt idx="18">
                  <c:v>0.12488803192027464</c:v>
                </c:pt>
                <c:pt idx="19">
                  <c:v>0.16588920116697015</c:v>
                </c:pt>
                <c:pt idx="20">
                  <c:v>0.21471059983392371</c:v>
                </c:pt>
                <c:pt idx="21">
                  <c:v>0.27098820655205813</c:v>
                </c:pt>
                <c:pt idx="22">
                  <c:v>0.3337900610646074</c:v>
                </c:pt>
                <c:pt idx="23">
                  <c:v>0.40163551860949054</c:v>
                </c:pt>
                <c:pt idx="24">
                  <c:v>0.47259011784293981</c:v>
                </c:pt>
                <c:pt idx="25">
                  <c:v>0.54442771562322179</c:v>
                </c:pt>
                <c:pt idx="26">
                  <c:v>0.61483774520825629</c:v>
                </c:pt>
                <c:pt idx="27">
                  <c:v>0.68164578440671386</c:v>
                </c:pt>
                <c:pt idx="28">
                  <c:v>0.74301271347498699</c:v>
                </c:pt>
                <c:pt idx="29">
                  <c:v>0.79758240668322522</c:v>
                </c:pt>
                <c:pt idx="30">
                  <c:v>0.84455884379643975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F-4A63-A0AB-0BAB62DA9459}"/>
            </c:ext>
          </c:extLst>
        </c:ser>
        <c:ser>
          <c:idx val="7"/>
          <c:order val="7"/>
          <c:tx>
            <c:strRef>
              <c:f>'850S2000'!$AI$40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2F-4A63-A0AB-0BAB62DA9459}"/>
            </c:ext>
          </c:extLst>
        </c:ser>
        <c:ser>
          <c:idx val="8"/>
          <c:order val="8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2F-4A63-A0AB-0BAB62DA9459}"/>
            </c:ext>
          </c:extLst>
        </c:ser>
        <c:ser>
          <c:idx val="9"/>
          <c:order val="9"/>
          <c:tx>
            <c:strRef>
              <c:f>'850S2000'!$AO$40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'850S2000'!$AN$41:$AN$47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'850S2000'!$AO$41:$AO$47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2F-4A63-A0AB-0BAB62DA9459}"/>
            </c:ext>
          </c:extLst>
        </c:ser>
        <c:ser>
          <c:idx val="10"/>
          <c:order val="10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'850S2000'!$AF$41:$AF$71</c:f>
              <c:numCache>
                <c:formatCode>0%</c:formatCode>
                <c:ptCount val="31"/>
                <c:pt idx="0">
                  <c:v>0.15543567571896766</c:v>
                </c:pt>
                <c:pt idx="1">
                  <c:v>0.20240521114982846</c:v>
                </c:pt>
                <c:pt idx="2">
                  <c:v>0.25696016865843463</c:v>
                </c:pt>
                <c:pt idx="3">
                  <c:v>0.31829664003441982</c:v>
                </c:pt>
                <c:pt idx="4">
                  <c:v>0.38504373483973975</c:v>
                </c:pt>
                <c:pt idx="5">
                  <c:v>0.45533571030973885</c:v>
                </c:pt>
                <c:pt idx="6">
                  <c:v>0.52695192767689392</c:v>
                </c:pt>
                <c:pt idx="7">
                  <c:v>0.59750463614829608</c:v>
                </c:pt>
                <c:pt idx="8">
                  <c:v>0.66464379615583802</c:v>
                </c:pt>
                <c:pt idx="9">
                  <c:v>0.72624399990289801</c:v>
                </c:pt>
                <c:pt idx="10">
                  <c:v>0.78054245159034252</c:v>
                </c:pt>
                <c:pt idx="11">
                  <c:v>0.82620817434865312</c:v>
                </c:pt>
                <c:pt idx="12">
                  <c:v>0.86233836676580422</c:v>
                </c:pt>
                <c:pt idx="13">
                  <c:v>0.88839419515627838</c:v>
                </c:pt>
                <c:pt idx="14">
                  <c:v>0.90410125231459304</c:v>
                </c:pt>
                <c:pt idx="15">
                  <c:v>0.9093463884084203</c:v>
                </c:pt>
                <c:pt idx="16">
                  <c:v>0.90410125231459304</c:v>
                </c:pt>
                <c:pt idx="17">
                  <c:v>0.88839419515627838</c:v>
                </c:pt>
                <c:pt idx="18">
                  <c:v>0.86233836676580422</c:v>
                </c:pt>
                <c:pt idx="19">
                  <c:v>0.82620817434865312</c:v>
                </c:pt>
                <c:pt idx="20">
                  <c:v>0.78054245159034252</c:v>
                </c:pt>
                <c:pt idx="21">
                  <c:v>0.72624399990289779</c:v>
                </c:pt>
                <c:pt idx="22">
                  <c:v>0.6646437961558378</c:v>
                </c:pt>
                <c:pt idx="23">
                  <c:v>0.59750463614829563</c:v>
                </c:pt>
                <c:pt idx="24">
                  <c:v>0.52695192767689347</c:v>
                </c:pt>
                <c:pt idx="25">
                  <c:v>0.45533571030973841</c:v>
                </c:pt>
                <c:pt idx="26">
                  <c:v>0.3850437348397393</c:v>
                </c:pt>
                <c:pt idx="27">
                  <c:v>0.3182966400344196</c:v>
                </c:pt>
                <c:pt idx="28">
                  <c:v>0.25696016865843463</c:v>
                </c:pt>
                <c:pt idx="29">
                  <c:v>0.20240521114982801</c:v>
                </c:pt>
                <c:pt idx="30">
                  <c:v>0.15543567571896744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2F-4A63-A0AB-0BAB62DA9459}"/>
            </c:ext>
          </c:extLst>
        </c:ser>
        <c:ser>
          <c:idx val="11"/>
          <c:order val="11"/>
          <c:tx>
            <c:strRef>
              <c:f>'850S2000'!$AL$40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2F-4A63-A0AB-0BAB62DA9459}"/>
            </c:ext>
          </c:extLst>
        </c:ser>
        <c:ser>
          <c:idx val="12"/>
          <c:order val="12"/>
          <c:tx>
            <c:strRef>
              <c:f>'850S2000'!$AM$40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'850S2000'!$AM$41:$AM$71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'850S2000'!$AI$41:$AI$71</c:f>
              <c:numCache>
                <c:formatCode>0%</c:formatCode>
                <c:ptCount val="31"/>
                <c:pt idx="0">
                  <c:v>0.84456432428103234</c:v>
                </c:pt>
                <c:pt idx="1">
                  <c:v>0.79759478885017154</c:v>
                </c:pt>
                <c:pt idx="2">
                  <c:v>0.74303983134156537</c:v>
                </c:pt>
                <c:pt idx="3">
                  <c:v>0.68170335996558018</c:v>
                </c:pt>
                <c:pt idx="4">
                  <c:v>0.61495626516026025</c:v>
                </c:pt>
                <c:pt idx="5">
                  <c:v>0.54466428969026115</c:v>
                </c:pt>
                <c:pt idx="6">
                  <c:v>0.47304807232310608</c:v>
                </c:pt>
                <c:pt idx="7">
                  <c:v>0.40249536385170392</c:v>
                </c:pt>
                <c:pt idx="8">
                  <c:v>0.33535620384416198</c:v>
                </c:pt>
                <c:pt idx="9">
                  <c:v>0.27375600009710199</c:v>
                </c:pt>
                <c:pt idx="10">
                  <c:v>0.21945754840965748</c:v>
                </c:pt>
                <c:pt idx="11">
                  <c:v>0.17379182565134688</c:v>
                </c:pt>
                <c:pt idx="12">
                  <c:v>0.13766163323419578</c:v>
                </c:pt>
                <c:pt idx="13">
                  <c:v>0.11160580484372162</c:v>
                </c:pt>
                <c:pt idx="14">
                  <c:v>9.589874768540696E-2</c:v>
                </c:pt>
                <c:pt idx="15">
                  <c:v>9.0653611591579697E-2</c:v>
                </c:pt>
                <c:pt idx="16">
                  <c:v>9.589874768540696E-2</c:v>
                </c:pt>
                <c:pt idx="17">
                  <c:v>0.11160580484372162</c:v>
                </c:pt>
                <c:pt idx="18">
                  <c:v>0.13766163323419578</c:v>
                </c:pt>
                <c:pt idx="19">
                  <c:v>0.17379182565134688</c:v>
                </c:pt>
                <c:pt idx="20">
                  <c:v>0.21945754840965748</c:v>
                </c:pt>
                <c:pt idx="21">
                  <c:v>0.27375600009710221</c:v>
                </c:pt>
                <c:pt idx="22">
                  <c:v>0.3353562038441622</c:v>
                </c:pt>
                <c:pt idx="23">
                  <c:v>0.40249536385170437</c:v>
                </c:pt>
                <c:pt idx="24">
                  <c:v>0.47304807232310653</c:v>
                </c:pt>
                <c:pt idx="25">
                  <c:v>0.54466428969026159</c:v>
                </c:pt>
                <c:pt idx="26">
                  <c:v>0.6149562651602607</c:v>
                </c:pt>
                <c:pt idx="27">
                  <c:v>0.6817033599655804</c:v>
                </c:pt>
                <c:pt idx="28">
                  <c:v>0.74303983134156537</c:v>
                </c:pt>
                <c:pt idx="29">
                  <c:v>0.79759478885017199</c:v>
                </c:pt>
                <c:pt idx="30">
                  <c:v>0.84456432428103256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2F-4A63-A0AB-0BAB62DA9459}"/>
            </c:ext>
          </c:extLst>
        </c:ser>
        <c:ser>
          <c:idx val="13"/>
          <c:order val="13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'850S2000'!$AT$55:$AT$69</c:f>
              <c:numCache>
                <c:formatCode>0%</c:formatCode>
                <c:ptCount val="15"/>
                <c:pt idx="0">
                  <c:v>0.74602201559935821</c:v>
                </c:pt>
                <c:pt idx="1">
                  <c:v>0.74956975933390324</c:v>
                </c:pt>
                <c:pt idx="2">
                  <c:v>0.74602201559935843</c:v>
                </c:pt>
                <c:pt idx="3">
                  <c:v>0.73546790874496892</c:v>
                </c:pt>
                <c:pt idx="4">
                  <c:v>0.71817198277580063</c:v>
                </c:pt>
                <c:pt idx="5">
                  <c:v>0.69456572998178689</c:v>
                </c:pt>
                <c:pt idx="6">
                  <c:v>0.66523354700859105</c:v>
                </c:pt>
                <c:pt idx="7">
                  <c:v>0.63089330358867102</c:v>
                </c:pt>
                <c:pt idx="8">
                  <c:v>0.59237190817521634</c:v>
                </c:pt>
                <c:pt idx="9">
                  <c:v>0.55057653578018773</c:v>
                </c:pt>
                <c:pt idx="10">
                  <c:v>0.50646251972749701</c:v>
                </c:pt>
                <c:pt idx="11">
                  <c:v>0.4609992532858489</c:v>
                </c:pt>
                <c:pt idx="12">
                  <c:v>0.41513574005654919</c:v>
                </c:pt>
                <c:pt idx="13">
                  <c:v>0.36976761466101626</c:v>
                </c:pt>
                <c:pt idx="14">
                  <c:v>0.32570748128358273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2F-4A63-A0AB-0BAB62DA9459}"/>
            </c:ext>
          </c:extLst>
        </c:ser>
        <c:ser>
          <c:idx val="14"/>
          <c:order val="14"/>
          <c:tx>
            <c:strRef>
              <c:f>'850S2000'!$AT$39:$AT$40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'850S2000'!$AT$43:$AT$57</c:f>
              <c:numCache>
                <c:formatCode>0%</c:formatCode>
                <c:ptCount val="15"/>
                <c:pt idx="0">
                  <c:v>0.32570748128358273</c:v>
                </c:pt>
                <c:pt idx="1">
                  <c:v>0.36976761466101649</c:v>
                </c:pt>
                <c:pt idx="2">
                  <c:v>0.41513574005654919</c:v>
                </c:pt>
                <c:pt idx="3">
                  <c:v>0.46099925328584934</c:v>
                </c:pt>
                <c:pt idx="4">
                  <c:v>0.50646251972749745</c:v>
                </c:pt>
                <c:pt idx="5">
                  <c:v>0.55057653578018817</c:v>
                </c:pt>
                <c:pt idx="6">
                  <c:v>0.59237190817521657</c:v>
                </c:pt>
                <c:pt idx="7">
                  <c:v>0.63089330358867124</c:v>
                </c:pt>
                <c:pt idx="8">
                  <c:v>0.66523354700859105</c:v>
                </c:pt>
                <c:pt idx="9">
                  <c:v>0.69456572998178689</c:v>
                </c:pt>
                <c:pt idx="10">
                  <c:v>0.71817198277580063</c:v>
                </c:pt>
                <c:pt idx="11">
                  <c:v>0.73546790874496892</c:v>
                </c:pt>
                <c:pt idx="12">
                  <c:v>0.74602201559935821</c:v>
                </c:pt>
                <c:pt idx="13">
                  <c:v>0.74956975933390324</c:v>
                </c:pt>
                <c:pt idx="14">
                  <c:v>0.74602201559935843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2F-4A63-A0AB-0BAB62DA9459}"/>
            </c:ext>
          </c:extLst>
        </c:ser>
        <c:ser>
          <c:idx val="15"/>
          <c:order val="15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'850S2000'!$AL$55:$AL$69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'850S2000'!$AW$55:$AW$69</c:f>
              <c:numCache>
                <c:formatCode>0%</c:formatCode>
                <c:ptCount val="15"/>
                <c:pt idx="0">
                  <c:v>0.25397798440064179</c:v>
                </c:pt>
                <c:pt idx="1">
                  <c:v>0.25043024066609676</c:v>
                </c:pt>
                <c:pt idx="2">
                  <c:v>0.25397798440064157</c:v>
                </c:pt>
                <c:pt idx="3">
                  <c:v>0.26453209125503108</c:v>
                </c:pt>
                <c:pt idx="4">
                  <c:v>0.28182801722419937</c:v>
                </c:pt>
                <c:pt idx="5">
                  <c:v>0.30543427001821311</c:v>
                </c:pt>
                <c:pt idx="6">
                  <c:v>0.33476645299140895</c:v>
                </c:pt>
                <c:pt idx="7">
                  <c:v>0.36910669641132898</c:v>
                </c:pt>
                <c:pt idx="8">
                  <c:v>0.40762809182478366</c:v>
                </c:pt>
                <c:pt idx="9">
                  <c:v>0.44942346421981227</c:v>
                </c:pt>
                <c:pt idx="10">
                  <c:v>0.49353748027250299</c:v>
                </c:pt>
                <c:pt idx="11">
                  <c:v>0.5390007467141511</c:v>
                </c:pt>
                <c:pt idx="12">
                  <c:v>0.58486425994345081</c:v>
                </c:pt>
                <c:pt idx="13">
                  <c:v>0.63023238533898374</c:v>
                </c:pt>
                <c:pt idx="14">
                  <c:v>0.67429251871641727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2F-4A63-A0AB-0BAB62DA9459}"/>
            </c:ext>
          </c:extLst>
        </c:ser>
        <c:ser>
          <c:idx val="16"/>
          <c:order val="16"/>
          <c:tx>
            <c:strRef>
              <c:f>'850S2000'!$AW$39:$AW$40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'850S2000'!$AM$43:$AM$57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'850S2000'!$AW$43:$AW$57</c:f>
              <c:numCache>
                <c:formatCode>0%</c:formatCode>
                <c:ptCount val="15"/>
                <c:pt idx="0">
                  <c:v>0.67429251871641727</c:v>
                </c:pt>
                <c:pt idx="1">
                  <c:v>0.63023238533898351</c:v>
                </c:pt>
                <c:pt idx="2">
                  <c:v>0.58486425994345081</c:v>
                </c:pt>
                <c:pt idx="3">
                  <c:v>0.53900074671415066</c:v>
                </c:pt>
                <c:pt idx="4">
                  <c:v>0.49353748027250255</c:v>
                </c:pt>
                <c:pt idx="5">
                  <c:v>0.44942346421981183</c:v>
                </c:pt>
                <c:pt idx="6">
                  <c:v>0.40762809182478343</c:v>
                </c:pt>
                <c:pt idx="7">
                  <c:v>0.36910669641132876</c:v>
                </c:pt>
                <c:pt idx="8">
                  <c:v>0.33476645299140895</c:v>
                </c:pt>
                <c:pt idx="9">
                  <c:v>0.30543427001821311</c:v>
                </c:pt>
                <c:pt idx="10">
                  <c:v>0.28182801722419937</c:v>
                </c:pt>
                <c:pt idx="11">
                  <c:v>0.26453209125503108</c:v>
                </c:pt>
                <c:pt idx="12">
                  <c:v>0.25397798440064179</c:v>
                </c:pt>
                <c:pt idx="13">
                  <c:v>0.25043024066609676</c:v>
                </c:pt>
                <c:pt idx="14">
                  <c:v>0.25397798440064157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2F-4A63-A0AB-0BAB62DA9459}"/>
            </c:ext>
          </c:extLst>
        </c:ser>
        <c:ser>
          <c:idx val="17"/>
          <c:order val="17"/>
          <c:tx>
            <c:strRef>
              <c:f>'850S2000'!$AI$8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'850S2000'!$AK$8:$AK$9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2F-4A63-A0AB-0BAB62DA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7071"/>
        <c:axId val="1"/>
      </c:scatterChart>
      <c:valAx>
        <c:axId val="946837071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707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792699656838269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LX4_62MMF!$B$15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LX4_62MMF!$B$18:$B$38</c:f>
              <c:numCache>
                <c:formatCode>0.00</c:formatCode>
                <c:ptCount val="21"/>
                <c:pt idx="0">
                  <c:v>0.308780698513278</c:v>
                </c:pt>
                <c:pt idx="1">
                  <c:v>0.32421973343894189</c:v>
                </c:pt>
                <c:pt idx="2">
                  <c:v>0.33965876836460585</c:v>
                </c:pt>
                <c:pt idx="3">
                  <c:v>0.35509780329026974</c:v>
                </c:pt>
                <c:pt idx="4">
                  <c:v>0.37053683821593364</c:v>
                </c:pt>
                <c:pt idx="5">
                  <c:v>0.38597587314159759</c:v>
                </c:pt>
                <c:pt idx="6">
                  <c:v>0.40141490806726149</c:v>
                </c:pt>
                <c:pt idx="7">
                  <c:v>0.41685394299292539</c:v>
                </c:pt>
                <c:pt idx="8">
                  <c:v>0.43229297791858928</c:v>
                </c:pt>
                <c:pt idx="9">
                  <c:v>0.44773201284425324</c:v>
                </c:pt>
                <c:pt idx="10">
                  <c:v>0.46317104776991713</c:v>
                </c:pt>
                <c:pt idx="11">
                  <c:v>0.47861008269558103</c:v>
                </c:pt>
                <c:pt idx="12">
                  <c:v>0.49404911762124498</c:v>
                </c:pt>
                <c:pt idx="13">
                  <c:v>0.50948815254690882</c:v>
                </c:pt>
                <c:pt idx="14">
                  <c:v>0.52492718747257283</c:v>
                </c:pt>
                <c:pt idx="15">
                  <c:v>0.54036622239823673</c:v>
                </c:pt>
                <c:pt idx="16">
                  <c:v>0.55580525732390063</c:v>
                </c:pt>
                <c:pt idx="17">
                  <c:v>0.57124429224956452</c:v>
                </c:pt>
                <c:pt idx="18">
                  <c:v>0.58668332717522842</c:v>
                </c:pt>
                <c:pt idx="19">
                  <c:v>0.60212236210089232</c:v>
                </c:pt>
                <c:pt idx="20">
                  <c:v>0.61756139702655621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7E0-9B9E-6FD7208518A6}"/>
            </c:ext>
          </c:extLst>
        </c:ser>
        <c:ser>
          <c:idx val="0"/>
          <c:order val="1"/>
          <c:tx>
            <c:strRef>
              <c:f>LX4_62MMF!$J$14:$J$15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LX4_62MMF!$J$18:$J$38</c:f>
              <c:numCache>
                <c:formatCode>0.00</c:formatCode>
                <c:ptCount val="21"/>
                <c:pt idx="0">
                  <c:v>1.9782947065742214</c:v>
                </c:pt>
                <c:pt idx="1">
                  <c:v>2.1092036542633741</c:v>
                </c:pt>
                <c:pt idx="2">
                  <c:v>2.2469260838291092</c:v>
                </c:pt>
                <c:pt idx="3">
                  <c:v>2.3914945081752048</c:v>
                </c:pt>
                <c:pt idx="4">
                  <c:v>2.5429594806453633</c:v>
                </c:pt>
                <c:pt idx="5">
                  <c:v>2.7013941753513433</c:v>
                </c:pt>
                <c:pt idx="6">
                  <c:v>2.866899104591782</c:v>
                </c:pt>
                <c:pt idx="7">
                  <c:v>3.0396070534019302</c:v>
                </c:pt>
                <c:pt idx="8">
                  <c:v>3.2196883446545694</c:v>
                </c:pt>
                <c:pt idx="9">
                  <c:v>3.4073565839056879</c:v>
                </c:pt>
                <c:pt idx="10">
                  <c:v>3.6028750739573918</c:v>
                </c:pt>
                <c:pt idx="11">
                  <c:v>3.8065641383851236</c:v>
                </c:pt>
                <c:pt idx="12">
                  <c:v>4.0188096557096875</c:v>
                </c:pt>
                <c:pt idx="13">
                  <c:v>4.2400731878411362</c:v>
                </c:pt>
                <c:pt idx="14">
                  <c:v>4.4709041967626142</c:v>
                </c:pt>
                <c:pt idx="15">
                  <c:v>4.711954994899247</c:v>
                </c:pt>
                <c:pt idx="16">
                  <c:v>4.9639992859669739</c:v>
                </c:pt>
                <c:pt idx="17">
                  <c:v>5.2279554525068388</c:v>
                </c:pt>
                <c:pt idx="18">
                  <c:v>5.5049161771367627</c:v>
                </c:pt>
                <c:pt idx="19">
                  <c:v>5.7961866149736885</c:v>
                </c:pt>
                <c:pt idx="20">
                  <c:v>6.1033342744247232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5-47E0-9B9E-6FD7208518A6}"/>
            </c:ext>
          </c:extLst>
        </c:ser>
        <c:ser>
          <c:idx val="6"/>
          <c:order val="2"/>
          <c:tx>
            <c:strRef>
              <c:f>LX4_62MMF!$L$14:$L$15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LX4_62MMF!$L$18:$L$38</c:f>
              <c:numCache>
                <c:formatCode>0.00</c:formatCode>
                <c:ptCount val="21"/>
                <c:pt idx="0">
                  <c:v>0.39424641861678911</c:v>
                </c:pt>
                <c:pt idx="1">
                  <c:v>0.39548126555494267</c:v>
                </c:pt>
                <c:pt idx="2">
                  <c:v>0.39669793206396831</c:v>
                </c:pt>
                <c:pt idx="3">
                  <c:v>0.39794432392526868</c:v>
                </c:pt>
                <c:pt idx="4">
                  <c:v>0.39927218912337192</c:v>
                </c:pt>
                <c:pt idx="5">
                  <c:v>0.40073674312248553</c:v>
                </c:pt>
                <c:pt idx="6">
                  <c:v>0.40239654786465451</c:v>
                </c:pt>
                <c:pt idx="7">
                  <c:v>0.40431365836431876</c:v>
                </c:pt>
                <c:pt idx="8">
                  <c:v>0.40655405221120366</c:v>
                </c:pt>
                <c:pt idx="9">
                  <c:v>0.40918836352914001</c:v>
                </c:pt>
                <c:pt idx="10">
                  <c:v>0.4122929543046685</c:v>
                </c:pt>
                <c:pt idx="11">
                  <c:v>0.41595137328146325</c:v>
                </c:pt>
                <c:pt idx="12">
                  <c:v>0.4202562773037446</c:v>
                </c:pt>
                <c:pt idx="13">
                  <c:v>0.42531192463171497</c:v>
                </c:pt>
                <c:pt idx="14">
                  <c:v>0.4312373984884994</c:v>
                </c:pt>
                <c:pt idx="15">
                  <c:v>0.43817078855586633</c:v>
                </c:pt>
                <c:pt idx="16">
                  <c:v>0.44627465889213003</c:v>
                </c:pt>
                <c:pt idx="17">
                  <c:v>0.45574327986385033</c:v>
                </c:pt>
                <c:pt idx="18">
                  <c:v>0.46681232716014076</c:v>
                </c:pt>
                <c:pt idx="19">
                  <c:v>0.47977209973072199</c:v>
                </c:pt>
                <c:pt idx="20">
                  <c:v>0.49498586125594546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5-47E0-9B9E-6FD7208518A6}"/>
            </c:ext>
          </c:extLst>
        </c:ser>
        <c:ser>
          <c:idx val="3"/>
          <c:order val="3"/>
          <c:tx>
            <c:strRef>
              <c:f>LX4_62MMF!$R$15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LX4_62MMF!$R$18:$R$38</c:f>
              <c:numCache>
                <c:formatCode>0.00</c:formatCode>
                <c:ptCount val="21"/>
                <c:pt idx="0">
                  <c:v>0.52277412665741541</c:v>
                </c:pt>
                <c:pt idx="1">
                  <c:v>0.53894496766556543</c:v>
                </c:pt>
                <c:pt idx="2">
                  <c:v>0.55808854084306558</c:v>
                </c:pt>
                <c:pt idx="3">
                  <c:v>0.58055685720453809</c:v>
                </c:pt>
                <c:pt idx="4">
                  <c:v>0.60678094165041707</c:v>
                </c:pt>
                <c:pt idx="5">
                  <c:v>0.63729211272239794</c:v>
                </c:pt>
                <c:pt idx="6">
                  <c:v>0.67275020205008351</c:v>
                </c:pt>
                <c:pt idx="7">
                  <c:v>0.71398176040243033</c:v>
                </c:pt>
                <c:pt idx="8">
                  <c:v>0.7620328620576502</c:v>
                </c:pt>
                <c:pt idx="9">
                  <c:v>0.81824369557226617</c:v>
                </c:pt>
                <c:pt idx="10">
                  <c:v>0.88435650463810633</c:v>
                </c:pt>
                <c:pt idx="11">
                  <c:v>0.96267615211597335</c:v>
                </c:pt>
                <c:pt idx="12">
                  <c:v>1.0563167647655736</c:v>
                </c:pt>
                <c:pt idx="13">
                  <c:v>1.1695953898308451</c:v>
                </c:pt>
                <c:pt idx="14">
                  <c:v>1.3086901964019146</c:v>
                </c:pt>
                <c:pt idx="15">
                  <c:v>1.4828065201929899</c:v>
                </c:pt>
                <c:pt idx="16">
                  <c:v>1.7064013057793883</c:v>
                </c:pt>
                <c:pt idx="17">
                  <c:v>2.0038656806831949</c:v>
                </c:pt>
                <c:pt idx="18">
                  <c:v>2.4208433195522803</c:v>
                </c:pt>
                <c:pt idx="19">
                  <c:v>3.0580283941831632</c:v>
                </c:pt>
                <c:pt idx="20">
                  <c:v>4.2188187005122781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5-47E0-9B9E-6FD7208518A6}"/>
            </c:ext>
          </c:extLst>
        </c:ser>
        <c:ser>
          <c:idx val="5"/>
          <c:order val="4"/>
          <c:tx>
            <c:strRef>
              <c:f>LX4_62MMF!$N$14:$N$15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5-47E0-9B9E-6FD7208518A6}"/>
            </c:ext>
          </c:extLst>
        </c:ser>
        <c:ser>
          <c:idx val="2"/>
          <c:order val="5"/>
          <c:tx>
            <c:strRef>
              <c:f>LX4_62MMF!$Q$15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LX4_62MMF!$Q$18:$Q$38</c:f>
              <c:numCache>
                <c:formatCode>0.00</c:formatCode>
                <c:ptCount val="21"/>
                <c:pt idx="0">
                  <c:v>1.264747865014859E-7</c:v>
                </c:pt>
                <c:pt idx="1">
                  <c:v>1.5372834714928307E-7</c:v>
                </c:pt>
                <c:pt idx="2">
                  <c:v>1.8516545026217567E-7</c:v>
                </c:pt>
                <c:pt idx="3">
                  <c:v>2.2119366294634881E-7</c:v>
                </c:pt>
                <c:pt idx="4">
                  <c:v>2.6223946949149566E-7</c:v>
                </c:pt>
                <c:pt idx="5">
                  <c:v>3.0874826750799575E-7</c:v>
                </c:pt>
                <c:pt idx="6">
                  <c:v>3.6118436213467268E-7</c:v>
                </c:pt>
                <c:pt idx="7">
                  <c:v>4.2003096313870131E-7</c:v>
                </c:pt>
                <c:pt idx="8">
                  <c:v>4.8579017429999081E-7</c:v>
                </c:pt>
                <c:pt idx="9">
                  <c:v>5.5898299340219252E-7</c:v>
                </c:pt>
                <c:pt idx="10">
                  <c:v>6.4014929775774267E-7</c:v>
                </c:pt>
                <c:pt idx="11">
                  <c:v>7.2984784708966523E-7</c:v>
                </c:pt>
                <c:pt idx="12">
                  <c:v>8.2865626905426885E-7</c:v>
                </c:pt>
                <c:pt idx="13">
                  <c:v>9.3717105826312501E-7</c:v>
                </c:pt>
                <c:pt idx="14">
                  <c:v>1.0560075608387518E-6</c:v>
                </c:pt>
                <c:pt idx="15">
                  <c:v>1.1857999792196932E-6</c:v>
                </c:pt>
                <c:pt idx="16">
                  <c:v>1.3272013528558448E-6</c:v>
                </c:pt>
                <c:pt idx="17">
                  <c:v>1.48088355529568E-6</c:v>
                </c:pt>
                <c:pt idx="18">
                  <c:v>1.647537288378725E-6</c:v>
                </c:pt>
                <c:pt idx="19">
                  <c:v>1.8278720687115558E-6</c:v>
                </c:pt>
                <c:pt idx="20">
                  <c:v>2.0226162237850911E-6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5-47E0-9B9E-6FD7208518A6}"/>
            </c:ext>
          </c:extLst>
        </c:ser>
        <c:ser>
          <c:idx val="4"/>
          <c:order val="6"/>
          <c:tx>
            <c:strRef>
              <c:f>LX4_62MMF!$S$14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LX4_62MMF!$S$18:$S$38</c:f>
              <c:numCache>
                <c:formatCode>0.00</c:formatCode>
                <c:ptCount val="21"/>
                <c:pt idx="0">
                  <c:v>8.9384069669472155E-2</c:v>
                </c:pt>
                <c:pt idx="1">
                  <c:v>9.2574254111480625E-2</c:v>
                </c:pt>
                <c:pt idx="2">
                  <c:v>9.6387883040383981E-2</c:v>
                </c:pt>
                <c:pt idx="3">
                  <c:v>0.10091562687998962</c:v>
                </c:pt>
                <c:pt idx="4">
                  <c:v>0.10627199035934104</c:v>
                </c:pt>
                <c:pt idx="5">
                  <c:v>0.11260298301927713</c:v>
                </c:pt>
                <c:pt idx="6">
                  <c:v>0.12009690134842638</c:v>
                </c:pt>
                <c:pt idx="7">
                  <c:v>0.12899984713767282</c:v>
                </c:pt>
                <c:pt idx="8">
                  <c:v>0.13963863310985741</c:v>
                </c:pt>
                <c:pt idx="9">
                  <c:v>0.15245555340157385</c:v>
                </c:pt>
                <c:pt idx="10">
                  <c:v>0.16806287960505945</c:v>
                </c:pt>
                <c:pt idx="11">
                  <c:v>0.18733151005300258</c:v>
                </c:pt>
                <c:pt idx="12">
                  <c:v>0.21154167074090441</c:v>
                </c:pt>
                <c:pt idx="13">
                  <c:v>0.24265308230146548</c:v>
                </c:pt>
                <c:pt idx="14">
                  <c:v>0.28382208727735631</c:v>
                </c:pt>
                <c:pt idx="15">
                  <c:v>0.34047716693152635</c:v>
                </c:pt>
                <c:pt idx="16">
                  <c:v>0.42281382514632609</c:v>
                </c:pt>
                <c:pt idx="17">
                  <c:v>0.55252778827080484</c:v>
                </c:pt>
                <c:pt idx="18">
                  <c:v>0.78564566200548236</c:v>
                </c:pt>
                <c:pt idx="19">
                  <c:v>1.3285380621037712</c:v>
                </c:pt>
                <c:pt idx="20">
                  <c:v>4.7106757780127255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B5-47E0-9B9E-6FD7208518A6}"/>
            </c:ext>
          </c:extLst>
        </c:ser>
        <c:ser>
          <c:idx val="8"/>
          <c:order val="7"/>
          <c:tx>
            <c:strRef>
              <c:f>LX4_62MMF!$T$14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LX4_62MMF!$T$18:$T$38</c:f>
              <c:numCache>
                <c:formatCode>0.0</c:formatCode>
                <c:ptCount val="21"/>
                <c:pt idx="0">
                  <c:v>3.5934801465059625</c:v>
                </c:pt>
                <c:pt idx="1">
                  <c:v>3.7604240287626514</c:v>
                </c:pt>
                <c:pt idx="2">
                  <c:v>3.9377593933065826</c:v>
                </c:pt>
                <c:pt idx="3">
                  <c:v>4.1260093406689338</c:v>
                </c:pt>
                <c:pt idx="4">
                  <c:v>4.3258217022338963</c:v>
                </c:pt>
                <c:pt idx="5">
                  <c:v>4.5380021961053689</c:v>
                </c:pt>
                <c:pt idx="6">
                  <c:v>4.763558025106569</c:v>
                </c:pt>
                <c:pt idx="7">
                  <c:v>5.0037566823302413</c:v>
                </c:pt>
                <c:pt idx="8">
                  <c:v>5.2602073557420441</c:v>
                </c:pt>
                <c:pt idx="9">
                  <c:v>5.5349767682359143</c:v>
                </c:pt>
                <c:pt idx="10">
                  <c:v>5.8307591004244417</c:v>
                </c:pt>
                <c:pt idx="11">
                  <c:v>6.1511339863789907</c:v>
                </c:pt>
                <c:pt idx="12">
                  <c:v>6.500974314797423</c:v>
                </c:pt>
                <c:pt idx="13">
                  <c:v>6.8871226743231286</c:v>
                </c:pt>
                <c:pt idx="14">
                  <c:v>7.3195821224105178</c:v>
                </c:pt>
                <c:pt idx="15">
                  <c:v>7.813776878777845</c:v>
                </c:pt>
                <c:pt idx="16">
                  <c:v>8.3952956603100723</c:v>
                </c:pt>
                <c:pt idx="17">
                  <c:v>9.1113379744578094</c:v>
                </c:pt>
                <c:pt idx="18">
                  <c:v>10.064902460567183</c:v>
                </c:pt>
                <c:pt idx="19">
                  <c:v>11.564649360964307</c:v>
                </c:pt>
                <c:pt idx="20">
                  <c:v>16.445378033848453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B5-47E0-9B9E-6FD7208518A6}"/>
            </c:ext>
          </c:extLst>
        </c:ser>
        <c:ser>
          <c:idx val="7"/>
          <c:order val="8"/>
          <c:tx>
            <c:strRef>
              <c:f>LX4_62MMF!$AL$15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LX4_62MMF!$AL$18:$AL$38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B5-47E0-9B9E-6FD7208518A6}"/>
            </c:ext>
          </c:extLst>
        </c:ser>
        <c:ser>
          <c:idx val="9"/>
          <c:order val="9"/>
          <c:tx>
            <c:strRef>
              <c:f>LX4_62MMF!$AN$14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LX4_62MMF!$AM$18:$AM$38</c:f>
              <c:numCache>
                <c:formatCode>General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xVal>
          <c:yVal>
            <c:numRef>
              <c:f>LX4_62MMF!$AN$18:$AN$38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B5-47E0-9B9E-6FD7208518A6}"/>
            </c:ext>
          </c:extLst>
        </c:ser>
        <c:ser>
          <c:idx val="10"/>
          <c:order val="10"/>
          <c:tx>
            <c:strRef>
              <c:f>LX4_62MMF!$M$14:$M$15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LX4_62MMF!$A$18:$A$38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LX4_62MMF!$M$18:$M$38</c:f>
              <c:numCache>
                <c:formatCode>0.00</c:formatCode>
                <c:ptCount val="21"/>
                <c:pt idx="0">
                  <c:v>1.1135909792611018</c:v>
                </c:pt>
                <c:pt idx="1">
                  <c:v>1.1170744481367172</c:v>
                </c:pt>
                <c:pt idx="2">
                  <c:v>1.1207127051286885</c:v>
                </c:pt>
                <c:pt idx="3">
                  <c:v>1.1246433410918022</c:v>
                </c:pt>
                <c:pt idx="4">
                  <c:v>1.129016726720109</c:v>
                </c:pt>
                <c:pt idx="5">
                  <c:v>1.1339957341806315</c:v>
                </c:pt>
                <c:pt idx="6">
                  <c:v>1.1397561920952262</c:v>
                </c:pt>
                <c:pt idx="7">
                  <c:v>1.1464881639899152</c:v>
                </c:pt>
                <c:pt idx="8">
                  <c:v>1.1543981565613497</c:v>
                </c:pt>
                <c:pt idx="9">
                  <c:v>1.1637123976023567</c:v>
                </c:pt>
                <c:pt idx="10">
                  <c:v>1.1746813780400669</c:v>
                </c:pt>
                <c:pt idx="11">
                  <c:v>1.1875859344932138</c:v>
                </c:pt>
                <c:pt idx="12">
                  <c:v>1.2027452681128352</c:v>
                </c:pt>
                <c:pt idx="13">
                  <c:v>1.220527468427977</c:v>
                </c:pt>
                <c:pt idx="14">
                  <c:v>1.2413633635360357</c:v>
                </c:pt>
                <c:pt idx="15">
                  <c:v>1.2657648925304201</c:v>
                </c:pt>
                <c:pt idx="16">
                  <c:v>1.2943497621210023</c:v>
                </c:pt>
                <c:pt idx="17">
                  <c:v>1.3278750238064889</c:v>
                </c:pt>
                <c:pt idx="18">
                  <c:v>1.3672835917485608</c:v>
                </c:pt>
                <c:pt idx="19">
                  <c:v>1.4137699706621385</c:v>
                </c:pt>
                <c:pt idx="20">
                  <c:v>1.4688752287961186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B5-47E0-9B9E-6FD72085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3743"/>
        <c:axId val="1"/>
      </c:scatterChart>
      <c:valAx>
        <c:axId val="946833743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389385265752706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374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9-4CDF-A059-24715D219288}"/>
            </c:ext>
          </c:extLst>
        </c:ser>
        <c:ser>
          <c:idx val="1"/>
          <c:order val="1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9-4CDF-A059-24715D219288}"/>
            </c:ext>
          </c:extLst>
        </c:ser>
        <c:ser>
          <c:idx val="2"/>
          <c:order val="2"/>
          <c:tx>
            <c:strRef>
              <c:f>LX4_62MMF!$AD$40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LX4_62MMF!$AD$41:$AD$69</c:f>
              <c:numCache>
                <c:formatCode>0%</c:formatCode>
                <c:ptCount val="29"/>
                <c:pt idx="0">
                  <c:v>0.1661211997477241</c:v>
                </c:pt>
                <c:pt idx="1">
                  <c:v>0.2143878262740147</c:v>
                </c:pt>
                <c:pt idx="2">
                  <c:v>0.26994809758108018</c:v>
                </c:pt>
                <c:pt idx="3">
                  <c:v>0.33190772750151137</c:v>
                </c:pt>
                <c:pt idx="4">
                  <c:v>0.3988468986523851</c:v>
                </c:pt>
                <c:pt idx="5">
                  <c:v>0.46890831508258835</c:v>
                </c:pt>
                <c:pt idx="6">
                  <c:v>0.53994857933953655</c:v>
                </c:pt>
                <c:pt idx="7">
                  <c:v>0.6097328103941777</c:v>
                </c:pt>
                <c:pt idx="8">
                  <c:v>0.67614336368882422</c:v>
                </c:pt>
                <c:pt idx="9">
                  <c:v>0.73737050262632131</c:v>
                </c:pt>
                <c:pt idx="10">
                  <c:v>0.79205672070947353</c:v>
                </c:pt>
                <c:pt idx="11">
                  <c:v>0.83937608024539956</c:v>
                </c:pt>
                <c:pt idx="12">
                  <c:v>0.87904285156793449</c:v>
                </c:pt>
                <c:pt idx="13">
                  <c:v>0.91125664381827243</c:v>
                </c:pt>
                <c:pt idx="14">
                  <c:v>0.93660115018194579</c:v>
                </c:pt>
                <c:pt idx="15">
                  <c:v>0.95591873263784954</c:v>
                </c:pt>
                <c:pt idx="16">
                  <c:v>0.97018297258007802</c:v>
                </c:pt>
                <c:pt idx="17">
                  <c:v>0.98038699454088496</c:v>
                </c:pt>
                <c:pt idx="18">
                  <c:v>0.98745864820918361</c:v>
                </c:pt>
                <c:pt idx="19">
                  <c:v>0.99220650257298637</c:v>
                </c:pt>
                <c:pt idx="20">
                  <c:v>0.99529466799721689</c:v>
                </c:pt>
                <c:pt idx="21">
                  <c:v>0.99724061243494022</c:v>
                </c:pt>
                <c:pt idx="22">
                  <c:v>0.99842853183455649</c:v>
                </c:pt>
                <c:pt idx="23">
                  <c:v>0.99913107031472692</c:v>
                </c:pt>
                <c:pt idx="24">
                  <c:v>0.99953358321366381</c:v>
                </c:pt>
                <c:pt idx="25">
                  <c:v>0.99975700008612611</c:v>
                </c:pt>
                <c:pt idx="26">
                  <c:v>0.99987713757420615</c:v>
                </c:pt>
                <c:pt idx="27">
                  <c:v>0.99993972217263205</c:v>
                </c:pt>
                <c:pt idx="28">
                  <c:v>0.99997130730220962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29-4CDF-A059-24715D219288}"/>
            </c:ext>
          </c:extLst>
        </c:ser>
        <c:ser>
          <c:idx val="3"/>
          <c:order val="3"/>
          <c:tx>
            <c:strRef>
              <c:f>LX4_62MMF!$AE$40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LX4_62MMF!$AE$41:$AE$69</c:f>
              <c:numCache>
                <c:formatCode>0%</c:formatCode>
                <c:ptCount val="29"/>
                <c:pt idx="0">
                  <c:v>0.99999406464749074</c:v>
                </c:pt>
                <c:pt idx="1">
                  <c:v>0.99998675003118498</c:v>
                </c:pt>
                <c:pt idx="2">
                  <c:v>0.99997130730220962</c:v>
                </c:pt>
                <c:pt idx="3">
                  <c:v>0.99993972217263205</c:v>
                </c:pt>
                <c:pt idx="4">
                  <c:v>0.99987713757420615</c:v>
                </c:pt>
                <c:pt idx="5">
                  <c:v>0.99975700008612611</c:v>
                </c:pt>
                <c:pt idx="6">
                  <c:v>0.99953358321366381</c:v>
                </c:pt>
                <c:pt idx="7">
                  <c:v>0.99913107031472692</c:v>
                </c:pt>
                <c:pt idx="8">
                  <c:v>0.99842853183455649</c:v>
                </c:pt>
                <c:pt idx="9">
                  <c:v>0.99724061243494022</c:v>
                </c:pt>
                <c:pt idx="10">
                  <c:v>0.99529466799721689</c:v>
                </c:pt>
                <c:pt idx="11">
                  <c:v>0.99220650257298637</c:v>
                </c:pt>
                <c:pt idx="12">
                  <c:v>0.98745864820918361</c:v>
                </c:pt>
                <c:pt idx="13">
                  <c:v>0.98038699454088507</c:v>
                </c:pt>
                <c:pt idx="14">
                  <c:v>0.97018297258007813</c:v>
                </c:pt>
                <c:pt idx="15">
                  <c:v>0.95591873263784954</c:v>
                </c:pt>
                <c:pt idx="16">
                  <c:v>0.93660115018194579</c:v>
                </c:pt>
                <c:pt idx="17">
                  <c:v>0.91125664381827254</c:v>
                </c:pt>
                <c:pt idx="18">
                  <c:v>0.87904285156793449</c:v>
                </c:pt>
                <c:pt idx="19">
                  <c:v>0.83937608024539945</c:v>
                </c:pt>
                <c:pt idx="20">
                  <c:v>0.79205672070947353</c:v>
                </c:pt>
                <c:pt idx="21">
                  <c:v>0.73737050262632087</c:v>
                </c:pt>
                <c:pt idx="22">
                  <c:v>0.67614336368882388</c:v>
                </c:pt>
                <c:pt idx="23">
                  <c:v>0.60973281039417748</c:v>
                </c:pt>
                <c:pt idx="24">
                  <c:v>0.53994857933953622</c:v>
                </c:pt>
                <c:pt idx="25">
                  <c:v>0.4689083150825879</c:v>
                </c:pt>
                <c:pt idx="26">
                  <c:v>0.39884689865238493</c:v>
                </c:pt>
                <c:pt idx="27">
                  <c:v>0.33190772750151087</c:v>
                </c:pt>
                <c:pt idx="28">
                  <c:v>0.26994809758107985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29-4CDF-A059-24715D219288}"/>
            </c:ext>
          </c:extLst>
        </c:ser>
        <c:ser>
          <c:idx val="4"/>
          <c:order val="4"/>
          <c:tx>
            <c:strRef>
              <c:f>LX4_62MMF!$AF$40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9-4CDF-A059-24715D219288}"/>
            </c:ext>
          </c:extLst>
        </c:ser>
        <c:ser>
          <c:idx val="5"/>
          <c:order val="5"/>
          <c:tx>
            <c:strRef>
              <c:f>LX4_62MMF!$AG$40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LX4_62MMF!$AG$41:$AG$69</c:f>
              <c:numCache>
                <c:formatCode>0%</c:formatCode>
                <c:ptCount val="29"/>
                <c:pt idx="0">
                  <c:v>0.8338788002522759</c:v>
                </c:pt>
                <c:pt idx="1">
                  <c:v>0.78561217372598535</c:v>
                </c:pt>
                <c:pt idx="2">
                  <c:v>0.73005190241891982</c:v>
                </c:pt>
                <c:pt idx="3">
                  <c:v>0.66809227249848857</c:v>
                </c:pt>
                <c:pt idx="4">
                  <c:v>0.6011531013476149</c:v>
                </c:pt>
                <c:pt idx="5">
                  <c:v>0.53109168491741165</c:v>
                </c:pt>
                <c:pt idx="6">
                  <c:v>0.46005142066046345</c:v>
                </c:pt>
                <c:pt idx="7">
                  <c:v>0.3902671896058223</c:v>
                </c:pt>
                <c:pt idx="8">
                  <c:v>0.32385663631117578</c:v>
                </c:pt>
                <c:pt idx="9">
                  <c:v>0.26262949737367869</c:v>
                </c:pt>
                <c:pt idx="10">
                  <c:v>0.20794327929052647</c:v>
                </c:pt>
                <c:pt idx="11">
                  <c:v>0.16062391975460044</c:v>
                </c:pt>
                <c:pt idx="12">
                  <c:v>0.12095714843206551</c:v>
                </c:pt>
                <c:pt idx="13">
                  <c:v>8.8743356181727573E-2</c:v>
                </c:pt>
                <c:pt idx="14">
                  <c:v>6.3398849818054215E-2</c:v>
                </c:pt>
                <c:pt idx="15">
                  <c:v>4.4081267362150456E-2</c:v>
                </c:pt>
                <c:pt idx="16">
                  <c:v>2.9817027419921982E-2</c:v>
                </c:pt>
                <c:pt idx="17">
                  <c:v>1.961300545911504E-2</c:v>
                </c:pt>
                <c:pt idx="18">
                  <c:v>1.2541351790816391E-2</c:v>
                </c:pt>
                <c:pt idx="19">
                  <c:v>7.7934974270136292E-3</c:v>
                </c:pt>
                <c:pt idx="20">
                  <c:v>4.7053320027831136E-3</c:v>
                </c:pt>
                <c:pt idx="21">
                  <c:v>2.7593875650597788E-3</c:v>
                </c:pt>
                <c:pt idx="22">
                  <c:v>1.5714681654435125E-3</c:v>
                </c:pt>
                <c:pt idx="23">
                  <c:v>8.6892968527307879E-4</c:v>
                </c:pt>
                <c:pt idx="24">
                  <c:v>4.6641678633618788E-4</c:v>
                </c:pt>
                <c:pt idx="25">
                  <c:v>2.4299991387388697E-4</c:v>
                </c:pt>
                <c:pt idx="26">
                  <c:v>1.2286242579384599E-4</c:v>
                </c:pt>
                <c:pt idx="27">
                  <c:v>6.0277827367949399E-5</c:v>
                </c:pt>
                <c:pt idx="28">
                  <c:v>2.8692697790377863E-5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29-4CDF-A059-24715D219288}"/>
            </c:ext>
          </c:extLst>
        </c:ser>
        <c:ser>
          <c:idx val="6"/>
          <c:order val="6"/>
          <c:tx>
            <c:strRef>
              <c:f>LX4_62MMF!$AH$40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LX4_62MMF!$AH$41:$AH$69</c:f>
              <c:numCache>
                <c:formatCode>0%</c:formatCode>
                <c:ptCount val="29"/>
                <c:pt idx="0">
                  <c:v>5.9353525092564752E-6</c:v>
                </c:pt>
                <c:pt idx="1">
                  <c:v>1.3249968815021163E-5</c:v>
                </c:pt>
                <c:pt idx="2">
                  <c:v>2.8692697790377863E-5</c:v>
                </c:pt>
                <c:pt idx="3">
                  <c:v>6.0277827367949399E-5</c:v>
                </c:pt>
                <c:pt idx="4">
                  <c:v>1.2286242579384599E-4</c:v>
                </c:pt>
                <c:pt idx="5">
                  <c:v>2.4299991387388697E-4</c:v>
                </c:pt>
                <c:pt idx="6">
                  <c:v>4.6641678633618788E-4</c:v>
                </c:pt>
                <c:pt idx="7">
                  <c:v>8.6892968527307879E-4</c:v>
                </c:pt>
                <c:pt idx="8">
                  <c:v>1.5714681654435125E-3</c:v>
                </c:pt>
                <c:pt idx="9">
                  <c:v>2.7593875650597788E-3</c:v>
                </c:pt>
                <c:pt idx="10">
                  <c:v>4.7053320027831136E-3</c:v>
                </c:pt>
                <c:pt idx="11">
                  <c:v>7.7934974270136292E-3</c:v>
                </c:pt>
                <c:pt idx="12">
                  <c:v>1.2541351790816391E-2</c:v>
                </c:pt>
                <c:pt idx="13">
                  <c:v>1.9613005459114929E-2</c:v>
                </c:pt>
                <c:pt idx="14">
                  <c:v>2.9817027419921871E-2</c:v>
                </c:pt>
                <c:pt idx="15">
                  <c:v>4.4081267362150456E-2</c:v>
                </c:pt>
                <c:pt idx="16">
                  <c:v>6.3398849818054215E-2</c:v>
                </c:pt>
                <c:pt idx="17">
                  <c:v>8.8743356181727462E-2</c:v>
                </c:pt>
                <c:pt idx="18">
                  <c:v>0.12095714843206551</c:v>
                </c:pt>
                <c:pt idx="19">
                  <c:v>0.16062391975460055</c:v>
                </c:pt>
                <c:pt idx="20">
                  <c:v>0.20794327929052647</c:v>
                </c:pt>
                <c:pt idx="21">
                  <c:v>0.26262949737367913</c:v>
                </c:pt>
                <c:pt idx="22">
                  <c:v>0.32385663631117612</c:v>
                </c:pt>
                <c:pt idx="23">
                  <c:v>0.39026718960582252</c:v>
                </c:pt>
                <c:pt idx="24">
                  <c:v>0.46005142066046378</c:v>
                </c:pt>
                <c:pt idx="25">
                  <c:v>0.5310916849174121</c:v>
                </c:pt>
                <c:pt idx="26">
                  <c:v>0.60115310134761502</c:v>
                </c:pt>
                <c:pt idx="27">
                  <c:v>0.66809227249848913</c:v>
                </c:pt>
                <c:pt idx="28">
                  <c:v>0.73005190241892015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29-4CDF-A059-24715D219288}"/>
            </c:ext>
          </c:extLst>
        </c:ser>
        <c:ser>
          <c:idx val="7"/>
          <c:order val="7"/>
          <c:tx>
            <c:strRef>
              <c:f>LX4_62MMF!$AI$40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29-4CDF-A059-24715D219288}"/>
            </c:ext>
          </c:extLst>
        </c:ser>
        <c:ser>
          <c:idx val="8"/>
          <c:order val="8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29-4CDF-A059-24715D219288}"/>
            </c:ext>
          </c:extLst>
        </c:ser>
        <c:ser>
          <c:idx val="9"/>
          <c:order val="9"/>
          <c:tx>
            <c:strRef>
              <c:f>LX4_62MMF!$AO$40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LX4_62MMF!$AN$41:$AN$47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LX4_62MMF!$AO$41:$AO$47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29-4CDF-A059-24715D219288}"/>
            </c:ext>
          </c:extLst>
        </c:ser>
        <c:ser>
          <c:idx val="10"/>
          <c:order val="10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LX4_62MMF!$AF$41:$AF$69</c:f>
              <c:numCache>
                <c:formatCode>0%</c:formatCode>
                <c:ptCount val="29"/>
                <c:pt idx="0">
                  <c:v>0.16611526439521485</c:v>
                </c:pt>
                <c:pt idx="1">
                  <c:v>0.21437457630519963</c:v>
                </c:pt>
                <c:pt idx="2">
                  <c:v>0.2699194048832898</c:v>
                </c:pt>
                <c:pt idx="3">
                  <c:v>0.33184744967414348</c:v>
                </c:pt>
                <c:pt idx="4">
                  <c:v>0.39872403622659114</c:v>
                </c:pt>
                <c:pt idx="5">
                  <c:v>0.46866531516871435</c:v>
                </c:pt>
                <c:pt idx="6">
                  <c:v>0.53948216255320025</c:v>
                </c:pt>
                <c:pt idx="7">
                  <c:v>0.60886388070890463</c:v>
                </c:pt>
                <c:pt idx="8">
                  <c:v>0.67457189552338059</c:v>
                </c:pt>
                <c:pt idx="9">
                  <c:v>0.73461111506126153</c:v>
                </c:pt>
                <c:pt idx="10">
                  <c:v>0.78735138870669052</c:v>
                </c:pt>
                <c:pt idx="11">
                  <c:v>0.83158258281838604</c:v>
                </c:pt>
                <c:pt idx="12">
                  <c:v>0.8665014997771181</c:v>
                </c:pt>
                <c:pt idx="13">
                  <c:v>0.8916436383591575</c:v>
                </c:pt>
                <c:pt idx="14">
                  <c:v>0.90678412276202391</c:v>
                </c:pt>
                <c:pt idx="15">
                  <c:v>0.91183746527569909</c:v>
                </c:pt>
                <c:pt idx="16">
                  <c:v>0.90678412276202369</c:v>
                </c:pt>
                <c:pt idx="17">
                  <c:v>0.8916436383591575</c:v>
                </c:pt>
                <c:pt idx="18">
                  <c:v>0.8665014997771181</c:v>
                </c:pt>
                <c:pt idx="19">
                  <c:v>0.83158258281838582</c:v>
                </c:pt>
                <c:pt idx="20">
                  <c:v>0.78735138870669052</c:v>
                </c:pt>
                <c:pt idx="21">
                  <c:v>0.73461111506126109</c:v>
                </c:pt>
                <c:pt idx="22">
                  <c:v>0.67457189552338037</c:v>
                </c:pt>
                <c:pt idx="23">
                  <c:v>0.6088638807089044</c:v>
                </c:pt>
                <c:pt idx="24">
                  <c:v>0.53948216255320003</c:v>
                </c:pt>
                <c:pt idx="25">
                  <c:v>0.4686653151687139</c:v>
                </c:pt>
                <c:pt idx="26">
                  <c:v>0.39872403622659114</c:v>
                </c:pt>
                <c:pt idx="27">
                  <c:v>0.33184744967414304</c:v>
                </c:pt>
                <c:pt idx="28">
                  <c:v>0.26991940488328936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29-4CDF-A059-24715D219288}"/>
            </c:ext>
          </c:extLst>
        </c:ser>
        <c:ser>
          <c:idx val="11"/>
          <c:order val="11"/>
          <c:tx>
            <c:strRef>
              <c:f>LX4_62MMF!$AL$40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29-4CDF-A059-24715D219288}"/>
            </c:ext>
          </c:extLst>
        </c:ser>
        <c:ser>
          <c:idx val="12"/>
          <c:order val="12"/>
          <c:tx>
            <c:strRef>
              <c:f>LX4_62MMF!$AM$40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LX4_62MMF!$AM$41:$AM$69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LX4_62MMF!$AI$41:$AI$69</c:f>
              <c:numCache>
                <c:formatCode>0%</c:formatCode>
                <c:ptCount val="29"/>
                <c:pt idx="0">
                  <c:v>0.83388473560478515</c:v>
                </c:pt>
                <c:pt idx="1">
                  <c:v>0.78562542369480037</c:v>
                </c:pt>
                <c:pt idx="2">
                  <c:v>0.7300805951167102</c:v>
                </c:pt>
                <c:pt idx="3">
                  <c:v>0.66815255032585652</c:v>
                </c:pt>
                <c:pt idx="4">
                  <c:v>0.60127596377340886</c:v>
                </c:pt>
                <c:pt idx="5">
                  <c:v>0.53133468483128565</c:v>
                </c:pt>
                <c:pt idx="6">
                  <c:v>0.46051783744679975</c:v>
                </c:pt>
                <c:pt idx="7">
                  <c:v>0.39113611929109537</c:v>
                </c:pt>
                <c:pt idx="8">
                  <c:v>0.32542810447661941</c:v>
                </c:pt>
                <c:pt idx="9">
                  <c:v>0.26538888493873847</c:v>
                </c:pt>
                <c:pt idx="10">
                  <c:v>0.21264861129330948</c:v>
                </c:pt>
                <c:pt idx="11">
                  <c:v>0.16841741718161396</c:v>
                </c:pt>
                <c:pt idx="12">
                  <c:v>0.1334985002228819</c:v>
                </c:pt>
                <c:pt idx="13">
                  <c:v>0.1083563616408425</c:v>
                </c:pt>
                <c:pt idx="14">
                  <c:v>9.3215877237976086E-2</c:v>
                </c:pt>
                <c:pt idx="15">
                  <c:v>8.8162534724300912E-2</c:v>
                </c:pt>
                <c:pt idx="16">
                  <c:v>9.3215877237976308E-2</c:v>
                </c:pt>
                <c:pt idx="17">
                  <c:v>0.1083563616408425</c:v>
                </c:pt>
                <c:pt idx="18">
                  <c:v>0.1334985002228819</c:v>
                </c:pt>
                <c:pt idx="19">
                  <c:v>0.16841741718161418</c:v>
                </c:pt>
                <c:pt idx="20">
                  <c:v>0.21264861129330948</c:v>
                </c:pt>
                <c:pt idx="21">
                  <c:v>0.26538888493873891</c:v>
                </c:pt>
                <c:pt idx="22">
                  <c:v>0.32542810447661963</c:v>
                </c:pt>
                <c:pt idx="23">
                  <c:v>0.3911361192910956</c:v>
                </c:pt>
                <c:pt idx="24">
                  <c:v>0.46051783744679997</c:v>
                </c:pt>
                <c:pt idx="25">
                  <c:v>0.5313346848312861</c:v>
                </c:pt>
                <c:pt idx="26">
                  <c:v>0.60127596377340886</c:v>
                </c:pt>
                <c:pt idx="27">
                  <c:v>0.66815255032585696</c:v>
                </c:pt>
                <c:pt idx="28">
                  <c:v>0.73008059511671064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29-4CDF-A059-24715D219288}"/>
            </c:ext>
          </c:extLst>
        </c:ser>
        <c:ser>
          <c:idx val="13"/>
          <c:order val="13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LX4_62MMF!$AT$55:$AT$69</c:f>
              <c:numCache>
                <c:formatCode>0%</c:formatCode>
                <c:ptCount val="15"/>
                <c:pt idx="0">
                  <c:v>0.71507245186382185</c:v>
                </c:pt>
                <c:pt idx="1">
                  <c:v>0.7181134749599134</c:v>
                </c:pt>
                <c:pt idx="2">
                  <c:v>0.71507245186382185</c:v>
                </c:pt>
                <c:pt idx="3">
                  <c:v>0.70602007034723124</c:v>
                </c:pt>
                <c:pt idx="4">
                  <c:v>0.69116608293728587</c:v>
                </c:pt>
                <c:pt idx="5">
                  <c:v>0.67085243805588313</c:v>
                </c:pt>
                <c:pt idx="6">
                  <c:v>0.64554204768055357</c:v>
                </c:pt>
                <c:pt idx="7">
                  <c:v>0.61580352786402193</c:v>
                </c:pt>
                <c:pt idx="8">
                  <c:v>0.58229240295950535</c:v>
                </c:pt>
                <c:pt idx="9">
                  <c:v>0.54572942751068565</c:v>
                </c:pt>
                <c:pt idx="10">
                  <c:v>0.50687684064905469</c:v>
                </c:pt>
                <c:pt idx="11">
                  <c:v>0.46651351019299137</c:v>
                </c:pt>
                <c:pt idx="12">
                  <c:v>0.42541002824192709</c:v>
                </c:pt>
                <c:pt idx="13">
                  <c:v>0.38430486819798548</c:v>
                </c:pt>
                <c:pt idx="14">
                  <c:v>0.34388269025850571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29-4CDF-A059-24715D219288}"/>
            </c:ext>
          </c:extLst>
        </c:ser>
        <c:ser>
          <c:idx val="14"/>
          <c:order val="14"/>
          <c:tx>
            <c:strRef>
              <c:f>LX4_62MMF!$AT$39:$AT$40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LX4_62MMF!$AT$43:$AT$57</c:f>
              <c:numCache>
                <c:formatCode>0%</c:formatCode>
                <c:ptCount val="15"/>
                <c:pt idx="0">
                  <c:v>0.34388269025850593</c:v>
                </c:pt>
                <c:pt idx="1">
                  <c:v>0.38430486819798571</c:v>
                </c:pt>
                <c:pt idx="2">
                  <c:v>0.42541002824192731</c:v>
                </c:pt>
                <c:pt idx="3">
                  <c:v>0.46651351019299181</c:v>
                </c:pt>
                <c:pt idx="4">
                  <c:v>0.50687684064905492</c:v>
                </c:pt>
                <c:pt idx="5">
                  <c:v>0.54572942751068565</c:v>
                </c:pt>
                <c:pt idx="6">
                  <c:v>0.58229240295950557</c:v>
                </c:pt>
                <c:pt idx="7">
                  <c:v>0.61580352786402215</c:v>
                </c:pt>
                <c:pt idx="8">
                  <c:v>0.64554204768055357</c:v>
                </c:pt>
                <c:pt idx="9">
                  <c:v>0.6708524380558829</c:v>
                </c:pt>
                <c:pt idx="10">
                  <c:v>0.69116608293728587</c:v>
                </c:pt>
                <c:pt idx="11">
                  <c:v>0.70602007034723124</c:v>
                </c:pt>
                <c:pt idx="12">
                  <c:v>0.71507245186382185</c:v>
                </c:pt>
                <c:pt idx="13">
                  <c:v>0.7181134749599134</c:v>
                </c:pt>
                <c:pt idx="14">
                  <c:v>0.71507245186382185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29-4CDF-A059-24715D219288}"/>
            </c:ext>
          </c:extLst>
        </c:ser>
        <c:ser>
          <c:idx val="15"/>
          <c:order val="15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LX4_62MMF!$AL$55:$AL$69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LX4_62MMF!$AW$55:$AW$69</c:f>
              <c:numCache>
                <c:formatCode>0%</c:formatCode>
                <c:ptCount val="15"/>
                <c:pt idx="0">
                  <c:v>0.28492754813617815</c:v>
                </c:pt>
                <c:pt idx="1">
                  <c:v>0.2818865250400866</c:v>
                </c:pt>
                <c:pt idx="2">
                  <c:v>0.28492754813617815</c:v>
                </c:pt>
                <c:pt idx="3">
                  <c:v>0.29397992965276876</c:v>
                </c:pt>
                <c:pt idx="4">
                  <c:v>0.30883391706271413</c:v>
                </c:pt>
                <c:pt idx="5">
                  <c:v>0.32914756194411687</c:v>
                </c:pt>
                <c:pt idx="6">
                  <c:v>0.35445795231944643</c:v>
                </c:pt>
                <c:pt idx="7">
                  <c:v>0.38419647213597807</c:v>
                </c:pt>
                <c:pt idx="8">
                  <c:v>0.41770759704049465</c:v>
                </c:pt>
                <c:pt idx="9">
                  <c:v>0.45427057248931435</c:v>
                </c:pt>
                <c:pt idx="10">
                  <c:v>0.49312315935094531</c:v>
                </c:pt>
                <c:pt idx="11">
                  <c:v>0.53348648980700863</c:v>
                </c:pt>
                <c:pt idx="12">
                  <c:v>0.57458997175807291</c:v>
                </c:pt>
                <c:pt idx="13">
                  <c:v>0.61569513180201452</c:v>
                </c:pt>
                <c:pt idx="14">
                  <c:v>0.65611730974149429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29-4CDF-A059-24715D219288}"/>
            </c:ext>
          </c:extLst>
        </c:ser>
        <c:ser>
          <c:idx val="16"/>
          <c:order val="16"/>
          <c:tx>
            <c:strRef>
              <c:f>LX4_62MMF!$AW$39:$AW$40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LX4_62MMF!$AM$43:$AM$57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LX4_62MMF!$AW$43:$AW$57</c:f>
              <c:numCache>
                <c:formatCode>0%</c:formatCode>
                <c:ptCount val="15"/>
                <c:pt idx="0">
                  <c:v>0.65611730974149407</c:v>
                </c:pt>
                <c:pt idx="1">
                  <c:v>0.61569513180201429</c:v>
                </c:pt>
                <c:pt idx="2">
                  <c:v>0.57458997175807269</c:v>
                </c:pt>
                <c:pt idx="3">
                  <c:v>0.53348648980700819</c:v>
                </c:pt>
                <c:pt idx="4">
                  <c:v>0.49312315935094508</c:v>
                </c:pt>
                <c:pt idx="5">
                  <c:v>0.45427057248931435</c:v>
                </c:pt>
                <c:pt idx="6">
                  <c:v>0.41770759704049443</c:v>
                </c:pt>
                <c:pt idx="7">
                  <c:v>0.38419647213597785</c:v>
                </c:pt>
                <c:pt idx="8">
                  <c:v>0.35445795231944643</c:v>
                </c:pt>
                <c:pt idx="9">
                  <c:v>0.3291475619441171</c:v>
                </c:pt>
                <c:pt idx="10">
                  <c:v>0.30883391706271413</c:v>
                </c:pt>
                <c:pt idx="11">
                  <c:v>0.29397992965276876</c:v>
                </c:pt>
                <c:pt idx="12">
                  <c:v>0.28492754813617815</c:v>
                </c:pt>
                <c:pt idx="13">
                  <c:v>0.2818865250400866</c:v>
                </c:pt>
                <c:pt idx="14">
                  <c:v>0.28492754813617815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829-4CDF-A059-24715D219288}"/>
            </c:ext>
          </c:extLst>
        </c:ser>
        <c:ser>
          <c:idx val="17"/>
          <c:order val="17"/>
          <c:tx>
            <c:strRef>
              <c:f>LX4_62MMF!$AI$8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LX4_62MMF!$AJ$8:$AJ$9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LX4_62MMF!$AK$8:$AK$9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829-4CDF-A059-24715D21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4575"/>
        <c:axId val="1"/>
      </c:scatterChart>
      <c:valAx>
        <c:axId val="946834575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45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04153318212732E-2"/>
          <c:y val="0.12292746827575649"/>
          <c:w val="0.62256009916181532"/>
          <c:h val="0.71430826160236871"/>
        </c:manualLayout>
      </c:layout>
      <c:scatterChart>
        <c:scatterStyle val="lineMarker"/>
        <c:varyColors val="0"/>
        <c:ser>
          <c:idx val="1"/>
          <c:order val="0"/>
          <c:tx>
            <c:strRef>
              <c:f>LX4_SMF!$B$15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LX4_SMF!$B$18:$B$38</c:f>
              <c:numCache>
                <c:formatCode>0.00</c:formatCode>
                <c:ptCount val="21"/>
                <c:pt idx="0">
                  <c:v>3.1198373148990775</c:v>
                </c:pt>
                <c:pt idx="1">
                  <c:v>3.2238318920623801</c:v>
                </c:pt>
                <c:pt idx="2">
                  <c:v>3.3278264692256823</c:v>
                </c:pt>
                <c:pt idx="3">
                  <c:v>3.4318210463889849</c:v>
                </c:pt>
                <c:pt idx="4">
                  <c:v>3.5358156235522875</c:v>
                </c:pt>
                <c:pt idx="5">
                  <c:v>3.6398102007155901</c:v>
                </c:pt>
                <c:pt idx="6">
                  <c:v>3.7438047778788928</c:v>
                </c:pt>
                <c:pt idx="7">
                  <c:v>3.8477993550421954</c:v>
                </c:pt>
                <c:pt idx="8">
                  <c:v>3.951793932205498</c:v>
                </c:pt>
                <c:pt idx="9">
                  <c:v>4.0557885093688011</c:v>
                </c:pt>
                <c:pt idx="10">
                  <c:v>4.1597830865321033</c:v>
                </c:pt>
                <c:pt idx="11">
                  <c:v>4.2637776636954055</c:v>
                </c:pt>
                <c:pt idx="12">
                  <c:v>4.3677722408587085</c:v>
                </c:pt>
                <c:pt idx="13">
                  <c:v>4.4717668180220107</c:v>
                </c:pt>
                <c:pt idx="14">
                  <c:v>4.5757613951853138</c:v>
                </c:pt>
                <c:pt idx="15">
                  <c:v>4.679755972348616</c:v>
                </c:pt>
                <c:pt idx="16">
                  <c:v>4.783750549511919</c:v>
                </c:pt>
                <c:pt idx="17">
                  <c:v>4.8877451266752212</c:v>
                </c:pt>
                <c:pt idx="18">
                  <c:v>4.9917397038385234</c:v>
                </c:pt>
                <c:pt idx="19">
                  <c:v>5.0957342810018256</c:v>
                </c:pt>
                <c:pt idx="20">
                  <c:v>5.1997288581651286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7-4205-9A8A-143C66DF7517}"/>
            </c:ext>
          </c:extLst>
        </c:ser>
        <c:ser>
          <c:idx val="0"/>
          <c:order val="1"/>
          <c:tx>
            <c:strRef>
              <c:f>LX4_SMF!$J$14:$J$15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LX4_SMF!$J$18:$J$38</c:f>
              <c:numCache>
                <c:formatCode>0.00</c:formatCode>
                <c:ptCount val="21"/>
                <c:pt idx="0">
                  <c:v>0.88386480083240293</c:v>
                </c:pt>
                <c:pt idx="1">
                  <c:v>0.89331404814119331</c:v>
                </c:pt>
                <c:pt idx="2">
                  <c:v>0.90308994059017911</c:v>
                </c:pt>
                <c:pt idx="3">
                  <c:v>0.913193757868072</c:v>
                </c:pt>
                <c:pt idx="4">
                  <c:v>0.92362677256221981</c:v>
                </c:pt>
                <c:pt idx="5">
                  <c:v>0.93439024720527408</c:v>
                </c:pt>
                <c:pt idx="6">
                  <c:v>0.94548543142156161</c:v>
                </c:pt>
                <c:pt idx="7">
                  <c:v>0.9569135591824508</c:v>
                </c:pt>
                <c:pt idx="8">
                  <c:v>0.96867584617938984</c:v>
                </c:pt>
                <c:pt idx="9">
                  <c:v>0.98077348732264791</c:v>
                </c:pt>
                <c:pt idx="10">
                  <c:v>0.99320765437308334</c:v>
                </c:pt>
                <c:pt idx="11">
                  <c:v>1.0059794937136224</c:v>
                </c:pt>
                <c:pt idx="12">
                  <c:v>1.0190901242663779</c:v>
                </c:pt>
                <c:pt idx="13">
                  <c:v>1.0325406355606745</c:v>
                </c:pt>
                <c:pt idx="14">
                  <c:v>1.0463320859564826</c:v>
                </c:pt>
                <c:pt idx="15">
                  <c:v>1.0604655010270838</c:v>
                </c:pt>
                <c:pt idx="16">
                  <c:v>1.0749418721040851</c:v>
                </c:pt>
                <c:pt idx="17">
                  <c:v>1.0897621549871621</c:v>
                </c:pt>
                <c:pt idx="18">
                  <c:v>1.1049272688202829</c:v>
                </c:pt>
                <c:pt idx="19">
                  <c:v>1.1204380951354245</c:v>
                </c:pt>
                <c:pt idx="20">
                  <c:v>1.1362954770642393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7-4205-9A8A-143C66DF7517}"/>
            </c:ext>
          </c:extLst>
        </c:ser>
        <c:ser>
          <c:idx val="6"/>
          <c:order val="2"/>
          <c:tx>
            <c:strRef>
              <c:f>LX4_SMF!$L$14:$L$15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LX4_SMF!$L$18:$L$38</c:f>
              <c:numCache>
                <c:formatCode>0.00</c:formatCode>
                <c:ptCount val="21"/>
                <c:pt idx="0">
                  <c:v>0.36668709709953673</c:v>
                </c:pt>
                <c:pt idx="1">
                  <c:v>0.3672545052250068</c:v>
                </c:pt>
                <c:pt idx="2">
                  <c:v>0.36782935266056116</c:v>
                </c:pt>
                <c:pt idx="3">
                  <c:v>0.36841079454107462</c:v>
                </c:pt>
                <c:pt idx="4">
                  <c:v>0.36899799166814917</c:v>
                </c:pt>
                <c:pt idx="5">
                  <c:v>0.36959011258616492</c:v>
                </c:pt>
                <c:pt idx="6">
                  <c:v>0.3701863355998124</c:v>
                </c:pt>
                <c:pt idx="7">
                  <c:v>0.37078585072718628</c:v>
                </c:pt>
                <c:pt idx="8">
                  <c:v>0.37138786158284565</c:v>
                </c:pt>
                <c:pt idx="9">
                  <c:v>0.37199158718577618</c:v>
                </c:pt>
                <c:pt idx="10">
                  <c:v>0.37259626368762777</c:v>
                </c:pt>
                <c:pt idx="11">
                  <c:v>0.37320114601709431</c:v>
                </c:pt>
                <c:pt idx="12">
                  <c:v>0.37380550943679802</c:v>
                </c:pt>
                <c:pt idx="13">
                  <c:v>0.37440865100956677</c:v>
                </c:pt>
                <c:pt idx="14">
                  <c:v>0.37500989097144877</c:v>
                </c:pt>
                <c:pt idx="15">
                  <c:v>0.37560857400939507</c:v>
                </c:pt>
                <c:pt idx="16">
                  <c:v>0.37620407044194293</c:v>
                </c:pt>
                <c:pt idx="17">
                  <c:v>0.37679577730186575</c:v>
                </c:pt>
                <c:pt idx="18">
                  <c:v>0.37738311932008894</c:v>
                </c:pt>
                <c:pt idx="19">
                  <c:v>0.37796554981078256</c:v>
                </c:pt>
                <c:pt idx="20">
                  <c:v>0.37854255145790416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7-4205-9A8A-143C66DF7517}"/>
            </c:ext>
          </c:extLst>
        </c:ser>
        <c:ser>
          <c:idx val="3"/>
          <c:order val="3"/>
          <c:tx>
            <c:strRef>
              <c:f>LX4_SMF!$R$15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LX4_SMF!$R$18:$R$38</c:f>
              <c:numCache>
                <c:formatCode>0.00</c:formatCode>
                <c:ptCount val="21"/>
                <c:pt idx="0">
                  <c:v>0.6399262911475081</c:v>
                </c:pt>
                <c:pt idx="1">
                  <c:v>0.63434321829484608</c:v>
                </c:pt>
                <c:pt idx="2">
                  <c:v>0.62893962074809329</c:v>
                </c:pt>
                <c:pt idx="3">
                  <c:v>0.62371285405449317</c:v>
                </c:pt>
                <c:pt idx="4">
                  <c:v>0.618660426636231</c:v>
                </c:pt>
                <c:pt idx="5">
                  <c:v>0.6137799837078437</c:v>
                </c:pt>
                <c:pt idx="6">
                  <c:v>0.60906929335690352</c:v>
                </c:pt>
                <c:pt idx="7">
                  <c:v>0.60452623456978405</c:v>
                </c:pt>
                <c:pt idx="8">
                  <c:v>0.60014878700093488</c:v>
                </c:pt>
                <c:pt idx="9">
                  <c:v>0.5959350223001072</c:v>
                </c:pt>
                <c:pt idx="10">
                  <c:v>0.59188309682709117</c:v>
                </c:pt>
                <c:pt idx="11">
                  <c:v>0.5879912455980425</c:v>
                </c:pt>
                <c:pt idx="12">
                  <c:v>0.58425777732114526</c:v>
                </c:pt>
                <c:pt idx="13">
                  <c:v>0.58068107039238948</c:v>
                </c:pt>
                <c:pt idx="14">
                  <c:v>0.57725956973438142</c:v>
                </c:pt>
                <c:pt idx="15">
                  <c:v>0.57399178437266607</c:v>
                </c:pt>
                <c:pt idx="16">
                  <c:v>0.5708762856547388</c:v>
                </c:pt>
                <c:pt idx="17">
                  <c:v>0.56791170602694407</c:v>
                </c:pt>
                <c:pt idx="18">
                  <c:v>0.5650967382937454</c:v>
                </c:pt>
                <c:pt idx="19">
                  <c:v>0.56243013529245978</c:v>
                </c:pt>
                <c:pt idx="20">
                  <c:v>0.55991070992445724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7-4205-9A8A-143C66DF7517}"/>
            </c:ext>
          </c:extLst>
        </c:ser>
        <c:ser>
          <c:idx val="5"/>
          <c:order val="4"/>
          <c:tx>
            <c:strRef>
              <c:f>LX4_SMF!$N$14:$N$15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LX4_SMF!$N$18:$N$38</c:f>
              <c:numCache>
                <c:formatCode>General</c:formatCode>
                <c:ptCount val="21"/>
                <c:pt idx="0">
                  <c:v>0.49760178815919909</c:v>
                </c:pt>
                <c:pt idx="1">
                  <c:v>0.48619794344136746</c:v>
                </c:pt>
                <c:pt idx="2">
                  <c:v>0.47510454988218126</c:v>
                </c:pt>
                <c:pt idx="3">
                  <c:v>0.46431182776522484</c:v>
                </c:pt>
                <c:pt idx="4">
                  <c:v>0.45381035909346623</c:v>
                </c:pt>
                <c:pt idx="5">
                  <c:v>0.44359107155797661</c:v>
                </c:pt>
                <c:pt idx="6">
                  <c:v>0.43364522336335398</c:v>
                </c:pt>
                <c:pt idx="7">
                  <c:v>0.42396438885594606</c:v>
                </c:pt>
                <c:pt idx="8">
                  <c:v>0.41454044490482078</c:v>
                </c:pt>
                <c:pt idx="9">
                  <c:v>0.40536555798902246</c:v>
                </c:pt>
                <c:pt idx="10">
                  <c:v>0.39643217194792013</c:v>
                </c:pt>
                <c:pt idx="11">
                  <c:v>0.38773299635449909</c:v>
                </c:pt>
                <c:pt idx="12">
                  <c:v>0.37926099547420866</c:v>
                </c:pt>
                <c:pt idx="13">
                  <c:v>0.37100937777456516</c:v>
                </c:pt>
                <c:pt idx="14">
                  <c:v>0.36297158595305962</c:v>
                </c:pt>
                <c:pt idx="15">
                  <c:v>0.35514128745312723</c:v>
                </c:pt>
                <c:pt idx="16">
                  <c:v>0.34751236543994302</c:v>
                </c:pt>
                <c:pt idx="17">
                  <c:v>0.3400789102096875</c:v>
                </c:pt>
                <c:pt idx="18">
                  <c:v>0.33283521100764868</c:v>
                </c:pt>
                <c:pt idx="19">
                  <c:v>0.32577574823214445</c:v>
                </c:pt>
                <c:pt idx="20">
                  <c:v>0.31889518600271982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7-4205-9A8A-143C66DF7517}"/>
            </c:ext>
          </c:extLst>
        </c:ser>
        <c:ser>
          <c:idx val="2"/>
          <c:order val="5"/>
          <c:tx>
            <c:strRef>
              <c:f>LX4_SMF!$Q$15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LX4_SMF!$Q$18:$Q$38</c:f>
              <c:numCache>
                <c:formatCode>0.00</c:formatCode>
                <c:ptCount val="21"/>
                <c:pt idx="0">
                  <c:v>2.0897190968310855E-2</c:v>
                </c:pt>
                <c:pt idx="1">
                  <c:v>2.3733413781316246E-2</c:v>
                </c:pt>
                <c:pt idx="2">
                  <c:v>2.684032515955255E-2</c:v>
                </c:pt>
                <c:pt idx="3">
                  <c:v>3.0233162599533639E-2</c:v>
                </c:pt>
                <c:pt idx="4">
                  <c:v>3.3927406933947274E-2</c:v>
                </c:pt>
                <c:pt idx="5">
                  <c:v>3.7938773043126539E-2</c:v>
                </c:pt>
                <c:pt idx="6">
                  <c:v>4.2283201827947023E-2</c:v>
                </c:pt>
                <c:pt idx="7">
                  <c:v>4.6976853512620029E-2</c:v>
                </c:pt>
                <c:pt idx="8">
                  <c:v>5.2036102343680182E-2</c:v>
                </c:pt>
                <c:pt idx="9">
                  <c:v>5.7477532749883306E-2</c:v>
                </c:pt>
                <c:pt idx="10">
                  <c:v>6.3317937026623208E-2</c:v>
                </c:pt>
                <c:pt idx="11">
                  <c:v>6.9574314608070911E-2</c:v>
                </c:pt>
                <c:pt idx="12">
                  <c:v>7.626387299052223E-2</c:v>
                </c:pt>
                <c:pt idx="13">
                  <c:v>8.3404030371473634E-2</c:v>
                </c:pt>
                <c:pt idx="14">
                  <c:v>9.1012420070826577E-2</c:v>
                </c:pt>
                <c:pt idx="15">
                  <c:v>9.9106896803423952E-2</c:v>
                </c:pt>
                <c:pt idx="16">
                  <c:v>0.10770554487587015</c:v>
                </c:pt>
                <c:pt idx="17">
                  <c:v>0.11682668838541438</c:v>
                </c:pt>
                <c:pt idx="18">
                  <c:v>0.1264889035046777</c:v>
                </c:pt>
                <c:pt idx="19">
                  <c:v>0.13671103294320158</c:v>
                </c:pt>
                <c:pt idx="20">
                  <c:v>0.14751220268542553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E7-4205-9A8A-143C66DF7517}"/>
            </c:ext>
          </c:extLst>
        </c:ser>
        <c:ser>
          <c:idx val="4"/>
          <c:order val="6"/>
          <c:tx>
            <c:strRef>
              <c:f>LX4_SMF!$S$14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LX4_SMF!$S$18:$S$38</c:f>
              <c:numCache>
                <c:formatCode>0.00</c:formatCode>
                <c:ptCount val="21"/>
                <c:pt idx="0">
                  <c:v>7.2083956139766814E-3</c:v>
                </c:pt>
                <c:pt idx="1">
                  <c:v>8.1113668348051782E-3</c:v>
                </c:pt>
                <c:pt idx="2">
                  <c:v>9.0917818994669108E-3</c:v>
                </c:pt>
                <c:pt idx="3">
                  <c:v>1.0153573464067756E-2</c:v>
                </c:pt>
                <c:pt idx="4">
                  <c:v>1.1300803136931381E-2</c:v>
                </c:pt>
                <c:pt idx="5">
                  <c:v>1.2537675593632946E-2</c:v>
                </c:pt>
                <c:pt idx="6">
                  <c:v>1.3868554050643023E-2</c:v>
                </c:pt>
                <c:pt idx="7">
                  <c:v>1.5297977154530185E-2</c:v>
                </c:pt>
                <c:pt idx="8">
                  <c:v>1.6830677356627355E-2</c:v>
                </c:pt>
                <c:pt idx="9">
                  <c:v>1.8471600857624004E-2</c:v>
                </c:pt>
                <c:pt idx="10">
                  <c:v>2.0225929222722372E-2</c:v>
                </c:pt>
                <c:pt idx="11">
                  <c:v>2.2099102786053315E-2</c:v>
                </c:pt>
                <c:pt idx="12">
                  <c:v>2.4096845983073822E-2</c:v>
                </c:pt>
                <c:pt idx="13">
                  <c:v>2.6225194772014015E-2</c:v>
                </c:pt>
                <c:pt idx="14">
                  <c:v>2.849052633042426E-2</c:v>
                </c:pt>
                <c:pt idx="15">
                  <c:v>3.0899591240665658E-2</c:v>
                </c:pt>
                <c:pt idx="16">
                  <c:v>3.3459548409522921E-2</c:v>
                </c:pt>
                <c:pt idx="17">
                  <c:v>3.6178003002284465E-2</c:v>
                </c:pt>
                <c:pt idx="18">
                  <c:v>3.906304771130642E-2</c:v>
                </c:pt>
                <c:pt idx="19">
                  <c:v>4.2123307724081349E-2</c:v>
                </c:pt>
                <c:pt idx="20">
                  <c:v>4.5367989806912812E-2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E7-4205-9A8A-143C66DF7517}"/>
            </c:ext>
          </c:extLst>
        </c:ser>
        <c:ser>
          <c:idx val="8"/>
          <c:order val="7"/>
          <c:tx>
            <c:strRef>
              <c:f>LX4_SMF!$T$14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LX4_SMF!$T$18:$T$38</c:f>
              <c:numCache>
                <c:formatCode>0.0</c:formatCode>
                <c:ptCount val="21"/>
                <c:pt idx="0">
                  <c:v>5.5360228787200114</c:v>
                </c:pt>
                <c:pt idx="1">
                  <c:v>5.6367863877809157</c:v>
                </c:pt>
                <c:pt idx="2">
                  <c:v>5.7387220401657162</c:v>
                </c:pt>
                <c:pt idx="3">
                  <c:v>5.8418370166814517</c:v>
                </c:pt>
                <c:pt idx="4">
                  <c:v>5.9461393835832315</c:v>
                </c:pt>
                <c:pt idx="5">
                  <c:v>6.0516380644096088</c:v>
                </c:pt>
                <c:pt idx="6">
                  <c:v>6.1583428174991139</c:v>
                </c:pt>
                <c:pt idx="7">
                  <c:v>6.2662642190447126</c:v>
                </c:pt>
                <c:pt idx="8">
                  <c:v>6.3754136515737967</c:v>
                </c:pt>
                <c:pt idx="9">
                  <c:v>6.4858032977738622</c:v>
                </c:pt>
                <c:pt idx="10">
                  <c:v>6.5974461396171717</c:v>
                </c:pt>
                <c:pt idx="11">
                  <c:v>6.7103559627727867</c:v>
                </c:pt>
                <c:pt idx="12">
                  <c:v>6.824547366330834</c:v>
                </c:pt>
                <c:pt idx="13">
                  <c:v>6.9400357779026951</c:v>
                </c:pt>
                <c:pt idx="14">
                  <c:v>7.0568374742019362</c:v>
                </c:pt>
                <c:pt idx="15">
                  <c:v>7.1749696072549787</c:v>
                </c:pt>
                <c:pt idx="16">
                  <c:v>7.2944502364380224</c:v>
                </c:pt>
                <c:pt idx="17">
                  <c:v>7.415298366588579</c:v>
                </c:pt>
                <c:pt idx="18">
                  <c:v>7.5375339924962743</c:v>
                </c:pt>
                <c:pt idx="19">
                  <c:v>7.6611781501399205</c:v>
                </c:pt>
                <c:pt idx="20">
                  <c:v>7.7862529751067875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E7-4205-9A8A-143C66DF7517}"/>
            </c:ext>
          </c:extLst>
        </c:ser>
        <c:ser>
          <c:idx val="7"/>
          <c:order val="8"/>
          <c:tx>
            <c:strRef>
              <c:f>LX4_SMF!$AL$15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LX4_SMF!$AL$18:$AL$38</c:f>
              <c:numCache>
                <c:formatCode>General</c:formatCode>
                <c:ptCount val="21"/>
                <c:pt idx="0">
                  <c:v>6.5500000000000007</c:v>
                </c:pt>
                <c:pt idx="1">
                  <c:v>6.5500000000000007</c:v>
                </c:pt>
                <c:pt idx="2">
                  <c:v>6.5500000000000007</c:v>
                </c:pt>
                <c:pt idx="3">
                  <c:v>6.5500000000000007</c:v>
                </c:pt>
                <c:pt idx="4">
                  <c:v>6.5500000000000007</c:v>
                </c:pt>
                <c:pt idx="5">
                  <c:v>6.5500000000000007</c:v>
                </c:pt>
                <c:pt idx="6">
                  <c:v>6.5500000000000007</c:v>
                </c:pt>
                <c:pt idx="7">
                  <c:v>6.5500000000000007</c:v>
                </c:pt>
                <c:pt idx="8">
                  <c:v>6.5500000000000007</c:v>
                </c:pt>
                <c:pt idx="9">
                  <c:v>6.5500000000000007</c:v>
                </c:pt>
                <c:pt idx="10">
                  <c:v>6.5500000000000007</c:v>
                </c:pt>
                <c:pt idx="11">
                  <c:v>6.5500000000000007</c:v>
                </c:pt>
                <c:pt idx="12">
                  <c:v>6.5500000000000007</c:v>
                </c:pt>
                <c:pt idx="13">
                  <c:v>6.5500000000000007</c:v>
                </c:pt>
                <c:pt idx="14">
                  <c:v>6.5500000000000007</c:v>
                </c:pt>
                <c:pt idx="15">
                  <c:v>6.5500000000000007</c:v>
                </c:pt>
                <c:pt idx="16">
                  <c:v>6.5500000000000007</c:v>
                </c:pt>
                <c:pt idx="17">
                  <c:v>6.5500000000000007</c:v>
                </c:pt>
                <c:pt idx="18">
                  <c:v>6.5500000000000007</c:v>
                </c:pt>
                <c:pt idx="19">
                  <c:v>6.5500000000000007</c:v>
                </c:pt>
                <c:pt idx="20">
                  <c:v>6.5500000000000007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E7-4205-9A8A-143C66DF7517}"/>
            </c:ext>
          </c:extLst>
        </c:ser>
        <c:ser>
          <c:idx val="9"/>
          <c:order val="9"/>
          <c:tx>
            <c:strRef>
              <c:f>LX4_SMF!$AN$14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LX4_SMF!$AM$18:$AM$38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LX4_SMF!$AN$18:$AN$38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E7-4205-9A8A-143C66DF7517}"/>
            </c:ext>
          </c:extLst>
        </c:ser>
        <c:ser>
          <c:idx val="10"/>
          <c:order val="10"/>
          <c:tx>
            <c:strRef>
              <c:f>LX4_SMF!$M$14:$M$15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LX4_SMF!$A$18:$A$38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LX4_SMF!$M$18:$M$38</c:f>
              <c:numCache>
                <c:formatCode>0.00</c:formatCode>
                <c:ptCount val="21"/>
                <c:pt idx="0">
                  <c:v>1.0517563303337103</c:v>
                </c:pt>
                <c:pt idx="1">
                  <c:v>1.0529680065178866</c:v>
                </c:pt>
                <c:pt idx="2">
                  <c:v>1.0541961216463989</c:v>
                </c:pt>
                <c:pt idx="3">
                  <c:v>1.0554389155486656</c:v>
                </c:pt>
                <c:pt idx="4">
                  <c:v>1.0566946406223989</c:v>
                </c:pt>
                <c:pt idx="5">
                  <c:v>1.0579615662948747</c:v>
                </c:pt>
                <c:pt idx="6">
                  <c:v>1.059237983374246</c:v>
                </c:pt>
                <c:pt idx="7">
                  <c:v>1.0605222082785066</c:v>
                </c:pt>
                <c:pt idx="8">
                  <c:v>1.0618125871305246</c:v>
                </c:pt>
                <c:pt idx="9">
                  <c:v>1.0631074997083967</c:v>
                </c:pt>
                <c:pt idx="10">
                  <c:v>1.0644053632413182</c:v>
                </c:pt>
                <c:pt idx="11">
                  <c:v>1.0657046360419902</c:v>
                </c:pt>
                <c:pt idx="12">
                  <c:v>1.067003820967571</c:v>
                </c:pt>
                <c:pt idx="13">
                  <c:v>1.0683014687021357</c:v>
                </c:pt>
                <c:pt idx="14">
                  <c:v>1.0695961808545569</c:v>
                </c:pt>
                <c:pt idx="15">
                  <c:v>1.0708866128666961</c:v>
                </c:pt>
                <c:pt idx="16">
                  <c:v>1.072171476727757</c:v>
                </c:pt>
                <c:pt idx="17">
                  <c:v>1.0734495434916318</c:v>
                </c:pt>
                <c:pt idx="18">
                  <c:v>1.0747196455950259</c:v>
                </c:pt>
                <c:pt idx="19">
                  <c:v>1.0759806789750297</c:v>
                </c:pt>
                <c:pt idx="20">
                  <c:v>1.0772316049858193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E7-4205-9A8A-143C66DF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9567"/>
        <c:axId val="1"/>
      </c:scatterChart>
      <c:valAx>
        <c:axId val="946839567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210488685533794"/>
              <c:y val="0.91697246605699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8.9448290109456225E-3"/>
              <c:y val="0.36546004081981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956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20598656846207844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8-4371-86AE-24FC0B5B40D5}"/>
            </c:ext>
          </c:extLst>
        </c:ser>
        <c:ser>
          <c:idx val="1"/>
          <c:order val="1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8-4371-86AE-24FC0B5B40D5}"/>
            </c:ext>
          </c:extLst>
        </c:ser>
        <c:ser>
          <c:idx val="2"/>
          <c:order val="2"/>
          <c:tx>
            <c:strRef>
              <c:f>LX4_SMF!$AD$40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LX4_SMF!$AD$41:$AD$69</c:f>
              <c:numCache>
                <c:formatCode>0%</c:formatCode>
                <c:ptCount val="29"/>
                <c:pt idx="0">
                  <c:v>0.1661127725338864</c:v>
                </c:pt>
                <c:pt idx="1">
                  <c:v>0.21437977972260747</c:v>
                </c:pt>
                <c:pt idx="2">
                  <c:v>0.26994103292783056</c:v>
                </c:pt>
                <c:pt idx="3">
                  <c:v>0.33190222754156196</c:v>
                </c:pt>
                <c:pt idx="4">
                  <c:v>0.39884344896647828</c:v>
                </c:pt>
                <c:pt idx="5">
                  <c:v>0.46890723340807611</c:v>
                </c:pt>
                <c:pt idx="6">
                  <c:v>0.53994996730271028</c:v>
                </c:pt>
                <c:pt idx="7">
                  <c:v>0.60973653776292536</c:v>
                </c:pt>
                <c:pt idx="8">
                  <c:v>0.67614908852632849</c:v>
                </c:pt>
                <c:pt idx="9">
                  <c:v>0.73737772302468174</c:v>
                </c:pt>
                <c:pt idx="10">
                  <c:v>0.79206484725923154</c:v>
                </c:pt>
                <c:pt idx="11">
                  <c:v>0.83938451476633069</c:v>
                </c:pt>
                <c:pt idx="12">
                  <c:v>0.87905105766835412</c:v>
                </c:pt>
                <c:pt idx="13">
                  <c:v>0.91126419821958982</c:v>
                </c:pt>
                <c:pt idx="14">
                  <c:v>0.93660776918288535</c:v>
                </c:pt>
                <c:pt idx="15">
                  <c:v>0.95592427392351276</c:v>
                </c:pt>
                <c:pt idx="16">
                  <c:v>0.97018741728655211</c:v>
                </c:pt>
                <c:pt idx="17">
                  <c:v>0.98039041713517538</c:v>
                </c:pt>
                <c:pt idx="18">
                  <c:v>0.98746118215370482</c:v>
                </c:pt>
                <c:pt idx="19">
                  <c:v>0.99220830836683649</c:v>
                </c:pt>
                <c:pt idx="20">
                  <c:v>0.99529590782620847</c:v>
                </c:pt>
                <c:pt idx="21">
                  <c:v>0.99724143315053126</c:v>
                </c:pt>
                <c:pt idx="22">
                  <c:v>0.99842905593764653</c:v>
                </c:pt>
                <c:pt idx="23">
                  <c:v>0.99913139334610912</c:v>
                </c:pt>
                <c:pt idx="24">
                  <c:v>0.99953377545750421</c:v>
                </c:pt>
                <c:pt idx="25">
                  <c:v>0.99975711059265837</c:v>
                </c:pt>
                <c:pt idx="26">
                  <c:v>0.99987719894718152</c:v>
                </c:pt>
                <c:pt idx="27">
                  <c:v>0.99993975511297251</c:v>
                </c:pt>
                <c:pt idx="28">
                  <c:v>0.99997132439188985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8-4371-86AE-24FC0B5B40D5}"/>
            </c:ext>
          </c:extLst>
        </c:ser>
        <c:ser>
          <c:idx val="3"/>
          <c:order val="3"/>
          <c:tx>
            <c:strRef>
              <c:f>LX4_SMF!$AE$40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LX4_SMF!$AE$41:$AE$69</c:f>
              <c:numCache>
                <c:formatCode>0%</c:formatCode>
                <c:ptCount val="29"/>
                <c:pt idx="0">
                  <c:v>0.99999406880492026</c:v>
                </c:pt>
                <c:pt idx="1">
                  <c:v>0.99998675860306085</c:v>
                </c:pt>
                <c:pt idx="2">
                  <c:v>0.99997132439188985</c:v>
                </c:pt>
                <c:pt idx="3">
                  <c:v>0.99993975511297251</c:v>
                </c:pt>
                <c:pt idx="4">
                  <c:v>0.99987719894718152</c:v>
                </c:pt>
                <c:pt idx="5">
                  <c:v>0.99975711059265837</c:v>
                </c:pt>
                <c:pt idx="6">
                  <c:v>0.99953377545750421</c:v>
                </c:pt>
                <c:pt idx="7">
                  <c:v>0.99913139334610912</c:v>
                </c:pt>
                <c:pt idx="8">
                  <c:v>0.99842905593764653</c:v>
                </c:pt>
                <c:pt idx="9">
                  <c:v>0.99724143315053126</c:v>
                </c:pt>
                <c:pt idx="10">
                  <c:v>0.99529590782620847</c:v>
                </c:pt>
                <c:pt idx="11">
                  <c:v>0.99220830836683649</c:v>
                </c:pt>
                <c:pt idx="12">
                  <c:v>0.98746118215370482</c:v>
                </c:pt>
                <c:pt idx="13">
                  <c:v>0.98039041713517538</c:v>
                </c:pt>
                <c:pt idx="14">
                  <c:v>0.97018741728655222</c:v>
                </c:pt>
                <c:pt idx="15">
                  <c:v>0.95592427392351276</c:v>
                </c:pt>
                <c:pt idx="16">
                  <c:v>0.93660776918288535</c:v>
                </c:pt>
                <c:pt idx="17">
                  <c:v>0.91126419821958993</c:v>
                </c:pt>
                <c:pt idx="18">
                  <c:v>0.87905105766835412</c:v>
                </c:pt>
                <c:pt idx="19">
                  <c:v>0.83938451476633058</c:v>
                </c:pt>
                <c:pt idx="20">
                  <c:v>0.79206484725923132</c:v>
                </c:pt>
                <c:pt idx="21">
                  <c:v>0.73737772302468152</c:v>
                </c:pt>
                <c:pt idx="22">
                  <c:v>0.67614908852632816</c:v>
                </c:pt>
                <c:pt idx="23">
                  <c:v>0.60973653776292502</c:v>
                </c:pt>
                <c:pt idx="24">
                  <c:v>0.53994996730270994</c:v>
                </c:pt>
                <c:pt idx="25">
                  <c:v>0.46890723340807566</c:v>
                </c:pt>
                <c:pt idx="26">
                  <c:v>0.39884344896647811</c:v>
                </c:pt>
                <c:pt idx="27">
                  <c:v>0.3319022275415614</c:v>
                </c:pt>
                <c:pt idx="28">
                  <c:v>0.26994103292783028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8-4371-86AE-24FC0B5B40D5}"/>
            </c:ext>
          </c:extLst>
        </c:ser>
        <c:ser>
          <c:idx val="4"/>
          <c:order val="4"/>
          <c:tx>
            <c:strRef>
              <c:f>LX4_SMF!$AF$40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8-4371-86AE-24FC0B5B40D5}"/>
            </c:ext>
          </c:extLst>
        </c:ser>
        <c:ser>
          <c:idx val="5"/>
          <c:order val="5"/>
          <c:tx>
            <c:strRef>
              <c:f>LX4_SMF!$AG$40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LX4_SMF!$AG$41:$AG$69</c:f>
              <c:numCache>
                <c:formatCode>0%</c:formatCode>
                <c:ptCount val="29"/>
                <c:pt idx="0">
                  <c:v>0.83388722746611355</c:v>
                </c:pt>
                <c:pt idx="1">
                  <c:v>0.78562022027739253</c:v>
                </c:pt>
                <c:pt idx="2">
                  <c:v>0.73005896707216944</c:v>
                </c:pt>
                <c:pt idx="3">
                  <c:v>0.66809777245843804</c:v>
                </c:pt>
                <c:pt idx="4">
                  <c:v>0.60115655103352172</c:v>
                </c:pt>
                <c:pt idx="5">
                  <c:v>0.53109276659192384</c:v>
                </c:pt>
                <c:pt idx="6">
                  <c:v>0.46005003269728972</c:v>
                </c:pt>
                <c:pt idx="7">
                  <c:v>0.39026346223707464</c:v>
                </c:pt>
                <c:pt idx="8">
                  <c:v>0.32385091147367151</c:v>
                </c:pt>
                <c:pt idx="9">
                  <c:v>0.26262227697531826</c:v>
                </c:pt>
                <c:pt idx="10">
                  <c:v>0.20793515274076846</c:v>
                </c:pt>
                <c:pt idx="11">
                  <c:v>0.16061548523366931</c:v>
                </c:pt>
                <c:pt idx="12">
                  <c:v>0.12094894233164588</c:v>
                </c:pt>
                <c:pt idx="13">
                  <c:v>8.8735801780410184E-2</c:v>
                </c:pt>
                <c:pt idx="14">
                  <c:v>6.3392230817114648E-2</c:v>
                </c:pt>
                <c:pt idx="15">
                  <c:v>4.4075726076487243E-2</c:v>
                </c:pt>
                <c:pt idx="16">
                  <c:v>2.9812582713447888E-2</c:v>
                </c:pt>
                <c:pt idx="17">
                  <c:v>1.9609582864824615E-2</c:v>
                </c:pt>
                <c:pt idx="18">
                  <c:v>1.253881784629518E-2</c:v>
                </c:pt>
                <c:pt idx="19">
                  <c:v>7.7916916331635111E-3</c:v>
                </c:pt>
                <c:pt idx="20">
                  <c:v>4.7040921737915298E-3</c:v>
                </c:pt>
                <c:pt idx="21">
                  <c:v>2.7585668494687354E-3</c:v>
                </c:pt>
                <c:pt idx="22">
                  <c:v>1.5709440623534743E-3</c:v>
                </c:pt>
                <c:pt idx="23">
                  <c:v>8.6860665389087988E-4</c:v>
                </c:pt>
                <c:pt idx="24">
                  <c:v>4.662245424957856E-4</c:v>
                </c:pt>
                <c:pt idx="25">
                  <c:v>2.4288940734162878E-4</c:v>
                </c:pt>
                <c:pt idx="26">
                  <c:v>1.2280105281847753E-4</c:v>
                </c:pt>
                <c:pt idx="27">
                  <c:v>6.0244887027494087E-5</c:v>
                </c:pt>
                <c:pt idx="28">
                  <c:v>2.8675608110151352E-5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8-4371-86AE-24FC0B5B40D5}"/>
            </c:ext>
          </c:extLst>
        </c:ser>
        <c:ser>
          <c:idx val="6"/>
          <c:order val="6"/>
          <c:tx>
            <c:strRef>
              <c:f>LX4_SMF!$AH$40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LX4_SMF!$AH$41:$AH$69</c:f>
              <c:numCache>
                <c:formatCode>0%</c:formatCode>
                <c:ptCount val="29"/>
                <c:pt idx="0">
                  <c:v>5.9311950797447111E-6</c:v>
                </c:pt>
                <c:pt idx="1">
                  <c:v>1.3241396939145389E-5</c:v>
                </c:pt>
                <c:pt idx="2">
                  <c:v>2.8675608110151352E-5</c:v>
                </c:pt>
                <c:pt idx="3">
                  <c:v>6.0244887027494087E-5</c:v>
                </c:pt>
                <c:pt idx="4">
                  <c:v>1.2280105281847753E-4</c:v>
                </c:pt>
                <c:pt idx="5">
                  <c:v>2.4288940734162878E-4</c:v>
                </c:pt>
                <c:pt idx="6">
                  <c:v>4.662245424957856E-4</c:v>
                </c:pt>
                <c:pt idx="7">
                  <c:v>8.6860665389087988E-4</c:v>
                </c:pt>
                <c:pt idx="8">
                  <c:v>1.5709440623534743E-3</c:v>
                </c:pt>
                <c:pt idx="9">
                  <c:v>2.7585668494687354E-3</c:v>
                </c:pt>
                <c:pt idx="10">
                  <c:v>4.7040921737915298E-3</c:v>
                </c:pt>
                <c:pt idx="11">
                  <c:v>7.7916916331635111E-3</c:v>
                </c:pt>
                <c:pt idx="12">
                  <c:v>1.253881784629518E-2</c:v>
                </c:pt>
                <c:pt idx="13">
                  <c:v>1.9609582864824615E-2</c:v>
                </c:pt>
                <c:pt idx="14">
                  <c:v>2.9812582713447777E-2</c:v>
                </c:pt>
                <c:pt idx="15">
                  <c:v>4.4075726076487243E-2</c:v>
                </c:pt>
                <c:pt idx="16">
                  <c:v>6.3392230817114648E-2</c:v>
                </c:pt>
                <c:pt idx="17">
                  <c:v>8.8735801780410073E-2</c:v>
                </c:pt>
                <c:pt idx="18">
                  <c:v>0.12094894233164588</c:v>
                </c:pt>
                <c:pt idx="19">
                  <c:v>0.16061548523366942</c:v>
                </c:pt>
                <c:pt idx="20">
                  <c:v>0.20793515274076868</c:v>
                </c:pt>
                <c:pt idx="21">
                  <c:v>0.26262227697531848</c:v>
                </c:pt>
                <c:pt idx="22">
                  <c:v>0.32385091147367184</c:v>
                </c:pt>
                <c:pt idx="23">
                  <c:v>0.39026346223707498</c:v>
                </c:pt>
                <c:pt idx="24">
                  <c:v>0.46005003269729006</c:v>
                </c:pt>
                <c:pt idx="25">
                  <c:v>0.53109276659192428</c:v>
                </c:pt>
                <c:pt idx="26">
                  <c:v>0.60115655103352195</c:v>
                </c:pt>
                <c:pt idx="27">
                  <c:v>0.6680977724584386</c:v>
                </c:pt>
                <c:pt idx="28">
                  <c:v>0.73005896707216977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8-4371-86AE-24FC0B5B40D5}"/>
            </c:ext>
          </c:extLst>
        </c:ser>
        <c:ser>
          <c:idx val="7"/>
          <c:order val="7"/>
          <c:tx>
            <c:strRef>
              <c:f>LX4_SMF!$AI$40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8-4371-86AE-24FC0B5B40D5}"/>
            </c:ext>
          </c:extLst>
        </c:ser>
        <c:ser>
          <c:idx val="8"/>
          <c:order val="8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A8-4371-86AE-24FC0B5B40D5}"/>
            </c:ext>
          </c:extLst>
        </c:ser>
        <c:ser>
          <c:idx val="9"/>
          <c:order val="9"/>
          <c:tx>
            <c:strRef>
              <c:f>LX4_SMF!$AO$40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LX4_SMF!$AN$41:$AN$47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LX4_SMF!$AO$41:$AO$47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A8-4371-86AE-24FC0B5B40D5}"/>
            </c:ext>
          </c:extLst>
        </c:ser>
        <c:ser>
          <c:idx val="10"/>
          <c:order val="10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LX4_SMF!$AF$41:$AF$69</c:f>
              <c:numCache>
                <c:formatCode>0%</c:formatCode>
                <c:ptCount val="29"/>
                <c:pt idx="0">
                  <c:v>0.16610684133880671</c:v>
                </c:pt>
                <c:pt idx="1">
                  <c:v>0.21436653832566832</c:v>
                </c:pt>
                <c:pt idx="2">
                  <c:v>0.26991235731972041</c:v>
                </c:pt>
                <c:pt idx="3">
                  <c:v>0.33184198265453446</c:v>
                </c:pt>
                <c:pt idx="4">
                  <c:v>0.3987206479136598</c:v>
                </c:pt>
                <c:pt idx="5">
                  <c:v>0.46866434400073453</c:v>
                </c:pt>
                <c:pt idx="6">
                  <c:v>0.53948374276021438</c:v>
                </c:pt>
                <c:pt idx="7">
                  <c:v>0.60886793110903437</c:v>
                </c:pt>
                <c:pt idx="8">
                  <c:v>0.6745781444639749</c:v>
                </c:pt>
                <c:pt idx="9">
                  <c:v>0.73461915617521312</c:v>
                </c:pt>
                <c:pt idx="10">
                  <c:v>0.78736075508544001</c:v>
                </c:pt>
                <c:pt idx="11">
                  <c:v>0.83159282313316707</c:v>
                </c:pt>
                <c:pt idx="12">
                  <c:v>0.86651223982205883</c:v>
                </c:pt>
                <c:pt idx="13">
                  <c:v>0.89165461535476531</c:v>
                </c:pt>
                <c:pt idx="14">
                  <c:v>0.90679518646943746</c:v>
                </c:pt>
                <c:pt idx="15">
                  <c:v>0.91184854784702551</c:v>
                </c:pt>
                <c:pt idx="16">
                  <c:v>0.90679518646943746</c:v>
                </c:pt>
                <c:pt idx="17">
                  <c:v>0.89165461535476531</c:v>
                </c:pt>
                <c:pt idx="18">
                  <c:v>0.86651223982205883</c:v>
                </c:pt>
                <c:pt idx="19">
                  <c:v>0.83159282313316707</c:v>
                </c:pt>
                <c:pt idx="20">
                  <c:v>0.78736075508543979</c:v>
                </c:pt>
                <c:pt idx="21">
                  <c:v>0.73461915617521267</c:v>
                </c:pt>
                <c:pt idx="22">
                  <c:v>0.67457814446397468</c:v>
                </c:pt>
                <c:pt idx="23">
                  <c:v>0.60886793110903414</c:v>
                </c:pt>
                <c:pt idx="24">
                  <c:v>0.53948374276021416</c:v>
                </c:pt>
                <c:pt idx="25">
                  <c:v>0.46866434400073409</c:v>
                </c:pt>
                <c:pt idx="26">
                  <c:v>0.39872064791365958</c:v>
                </c:pt>
                <c:pt idx="27">
                  <c:v>0.33184198265453402</c:v>
                </c:pt>
                <c:pt idx="28">
                  <c:v>0.26991235731972019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A8-4371-86AE-24FC0B5B40D5}"/>
            </c:ext>
          </c:extLst>
        </c:ser>
        <c:ser>
          <c:idx val="11"/>
          <c:order val="11"/>
          <c:tx>
            <c:strRef>
              <c:f>LX4_SMF!$AL$40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LX4_SMF!$AL$41:$AL$69</c:f>
              <c:numCache>
                <c:formatCode>General</c:formatCode>
                <c:ptCount val="29"/>
                <c:pt idx="0">
                  <c:v>-0.37812499999999999</c:v>
                </c:pt>
                <c:pt idx="1">
                  <c:v>-0.328125</c:v>
                </c:pt>
                <c:pt idx="2">
                  <c:v>-0.27812500000000001</c:v>
                </c:pt>
                <c:pt idx="3">
                  <c:v>-0.22812500000000002</c:v>
                </c:pt>
                <c:pt idx="4">
                  <c:v>-0.17812500000000001</c:v>
                </c:pt>
                <c:pt idx="5">
                  <c:v>-0.12812499999999999</c:v>
                </c:pt>
                <c:pt idx="6">
                  <c:v>-7.8124999999999986E-2</c:v>
                </c:pt>
                <c:pt idx="7">
                  <c:v>-2.8124999999999983E-2</c:v>
                </c:pt>
                <c:pt idx="8">
                  <c:v>2.1875000000000033E-2</c:v>
                </c:pt>
                <c:pt idx="9">
                  <c:v>7.1875000000000022E-2</c:v>
                </c:pt>
                <c:pt idx="10">
                  <c:v>0.12187500000000001</c:v>
                </c:pt>
                <c:pt idx="11">
                  <c:v>0.171875</c:v>
                </c:pt>
                <c:pt idx="12">
                  <c:v>0.22187499999999999</c:v>
                </c:pt>
                <c:pt idx="13">
                  <c:v>0.27187499999999998</c:v>
                </c:pt>
                <c:pt idx="14">
                  <c:v>0.32187499999999997</c:v>
                </c:pt>
                <c:pt idx="15">
                  <c:v>0.37187499999999996</c:v>
                </c:pt>
                <c:pt idx="16">
                  <c:v>0.42187499999999994</c:v>
                </c:pt>
                <c:pt idx="17">
                  <c:v>0.47187499999999999</c:v>
                </c:pt>
                <c:pt idx="18">
                  <c:v>0.52187500000000009</c:v>
                </c:pt>
                <c:pt idx="19">
                  <c:v>0.57187500000000013</c:v>
                </c:pt>
                <c:pt idx="20">
                  <c:v>0.62187500000000018</c:v>
                </c:pt>
                <c:pt idx="21">
                  <c:v>0.67187500000000022</c:v>
                </c:pt>
                <c:pt idx="22">
                  <c:v>0.72187500000000027</c:v>
                </c:pt>
                <c:pt idx="23">
                  <c:v>0.77187500000000031</c:v>
                </c:pt>
                <c:pt idx="24">
                  <c:v>0.82187500000000036</c:v>
                </c:pt>
                <c:pt idx="25">
                  <c:v>0.87187500000000018</c:v>
                </c:pt>
                <c:pt idx="26">
                  <c:v>0.92187500000000022</c:v>
                </c:pt>
                <c:pt idx="27">
                  <c:v>0.97187500000000027</c:v>
                </c:pt>
                <c:pt idx="28">
                  <c:v>1.0218750000000003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A8-4371-86AE-24FC0B5B40D5}"/>
            </c:ext>
          </c:extLst>
        </c:ser>
        <c:ser>
          <c:idx val="12"/>
          <c:order val="12"/>
          <c:tx>
            <c:strRef>
              <c:f>LX4_SMF!$AM$40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LX4_SMF!$AM$41:$AM$69</c:f>
              <c:numCache>
                <c:formatCode>General</c:formatCode>
                <c:ptCount val="29"/>
                <c:pt idx="0">
                  <c:v>-0.12187500000000001</c:v>
                </c:pt>
                <c:pt idx="1">
                  <c:v>-7.1875000000000022E-2</c:v>
                </c:pt>
                <c:pt idx="2">
                  <c:v>-2.1875000000000033E-2</c:v>
                </c:pt>
                <c:pt idx="3">
                  <c:v>2.8124999999999969E-2</c:v>
                </c:pt>
                <c:pt idx="4">
                  <c:v>7.8124999999999972E-2</c:v>
                </c:pt>
                <c:pt idx="5">
                  <c:v>0.12812499999999999</c:v>
                </c:pt>
                <c:pt idx="6">
                  <c:v>0.17812499999999998</c:v>
                </c:pt>
                <c:pt idx="7">
                  <c:v>0.22812499999999999</c:v>
                </c:pt>
                <c:pt idx="8">
                  <c:v>0.27812500000000001</c:v>
                </c:pt>
                <c:pt idx="9">
                  <c:v>0.328125</c:v>
                </c:pt>
                <c:pt idx="10">
                  <c:v>0.37812499999999999</c:v>
                </c:pt>
                <c:pt idx="11">
                  <c:v>0.42812499999999998</c:v>
                </c:pt>
                <c:pt idx="12">
                  <c:v>0.47812499999999997</c:v>
                </c:pt>
                <c:pt idx="13">
                  <c:v>0.52812499999999996</c:v>
                </c:pt>
                <c:pt idx="14">
                  <c:v>0.578125</c:v>
                </c:pt>
                <c:pt idx="15">
                  <c:v>0.62812499999999993</c:v>
                </c:pt>
                <c:pt idx="16">
                  <c:v>0.67812499999999987</c:v>
                </c:pt>
                <c:pt idx="17">
                  <c:v>0.72812499999999991</c:v>
                </c:pt>
                <c:pt idx="18">
                  <c:v>0.77812499999999996</c:v>
                </c:pt>
                <c:pt idx="19">
                  <c:v>0.828125</c:v>
                </c:pt>
                <c:pt idx="20">
                  <c:v>0.87812500000000004</c:v>
                </c:pt>
                <c:pt idx="21">
                  <c:v>0.92812500000000009</c:v>
                </c:pt>
                <c:pt idx="22">
                  <c:v>0.97812500000000013</c:v>
                </c:pt>
                <c:pt idx="23">
                  <c:v>1.0281250000000002</c:v>
                </c:pt>
                <c:pt idx="24">
                  <c:v>1.0781250000000002</c:v>
                </c:pt>
                <c:pt idx="25">
                  <c:v>1.1281250000000003</c:v>
                </c:pt>
                <c:pt idx="26">
                  <c:v>1.1781250000000003</c:v>
                </c:pt>
                <c:pt idx="27">
                  <c:v>1.2281250000000004</c:v>
                </c:pt>
                <c:pt idx="28">
                  <c:v>1.2781250000000004</c:v>
                </c:pt>
              </c:numCache>
            </c:numRef>
          </c:xVal>
          <c:yVal>
            <c:numRef>
              <c:f>LX4_SMF!$AI$41:$AI$69</c:f>
              <c:numCache>
                <c:formatCode>0%</c:formatCode>
                <c:ptCount val="29"/>
                <c:pt idx="0">
                  <c:v>0.83389315866119329</c:v>
                </c:pt>
                <c:pt idx="1">
                  <c:v>0.78563346167433168</c:v>
                </c:pt>
                <c:pt idx="2">
                  <c:v>0.73008764268027959</c:v>
                </c:pt>
                <c:pt idx="3">
                  <c:v>0.66815801734546554</c:v>
                </c:pt>
                <c:pt idx="4">
                  <c:v>0.6012793520863402</c:v>
                </c:pt>
                <c:pt idx="5">
                  <c:v>0.53133565599926547</c:v>
                </c:pt>
                <c:pt idx="6">
                  <c:v>0.46051625723978562</c:v>
                </c:pt>
                <c:pt idx="7">
                  <c:v>0.39113206889096563</c:v>
                </c:pt>
                <c:pt idx="8">
                  <c:v>0.3254218555360251</c:v>
                </c:pt>
                <c:pt idx="9">
                  <c:v>0.26538084382478688</c:v>
                </c:pt>
                <c:pt idx="10">
                  <c:v>0.21263924491455999</c:v>
                </c:pt>
                <c:pt idx="11">
                  <c:v>0.16840717686683293</c:v>
                </c:pt>
                <c:pt idx="12">
                  <c:v>0.13348776017794117</c:v>
                </c:pt>
                <c:pt idx="13">
                  <c:v>0.10834538464523469</c:v>
                </c:pt>
                <c:pt idx="14">
                  <c:v>9.3204813530562536E-2</c:v>
                </c:pt>
                <c:pt idx="15">
                  <c:v>8.8151452152974485E-2</c:v>
                </c:pt>
                <c:pt idx="16">
                  <c:v>9.3204813530562536E-2</c:v>
                </c:pt>
                <c:pt idx="17">
                  <c:v>0.10834538464523469</c:v>
                </c:pt>
                <c:pt idx="18">
                  <c:v>0.13348776017794117</c:v>
                </c:pt>
                <c:pt idx="19">
                  <c:v>0.16840717686683293</c:v>
                </c:pt>
                <c:pt idx="20">
                  <c:v>0.21263924491456021</c:v>
                </c:pt>
                <c:pt idx="21">
                  <c:v>0.26538084382478733</c:v>
                </c:pt>
                <c:pt idx="22">
                  <c:v>0.32542185553602532</c:v>
                </c:pt>
                <c:pt idx="23">
                  <c:v>0.39113206889096586</c:v>
                </c:pt>
                <c:pt idx="24">
                  <c:v>0.46051625723978584</c:v>
                </c:pt>
                <c:pt idx="25">
                  <c:v>0.53133565599926591</c:v>
                </c:pt>
                <c:pt idx="26">
                  <c:v>0.60127935208634042</c:v>
                </c:pt>
                <c:pt idx="27">
                  <c:v>0.66815801734546598</c:v>
                </c:pt>
                <c:pt idx="28">
                  <c:v>0.73008764268027981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A8-4371-86AE-24FC0B5B40D5}"/>
            </c:ext>
          </c:extLst>
        </c:ser>
        <c:ser>
          <c:idx val="13"/>
          <c:order val="13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LX4_SMF!$AT$55:$AT$69</c:f>
              <c:numCache>
                <c:formatCode>0%</c:formatCode>
                <c:ptCount val="15"/>
                <c:pt idx="0">
                  <c:v>0.89278063555504872</c:v>
                </c:pt>
                <c:pt idx="1">
                  <c:v>0.89778576620752437</c:v>
                </c:pt>
                <c:pt idx="2">
                  <c:v>0.89278063555504894</c:v>
                </c:pt>
                <c:pt idx="3">
                  <c:v>0.87781661566659674</c:v>
                </c:pt>
                <c:pt idx="4">
                  <c:v>0.85306601069635057</c:v>
                </c:pt>
                <c:pt idx="5">
                  <c:v>0.81887146550404455</c:v>
                </c:pt>
                <c:pt idx="6">
                  <c:v>0.77581232371572795</c:v>
                </c:pt>
                <c:pt idx="7">
                  <c:v>0.72476787265379583</c:v>
                </c:pt>
                <c:pt idx="8">
                  <c:v>0.66695634620236643</c:v>
                </c:pt>
                <c:pt idx="9">
                  <c:v>0.60393255152245584</c:v>
                </c:pt>
                <c:pt idx="10">
                  <c:v>0.53753519968335017</c:v>
                </c:pt>
                <c:pt idx="11">
                  <c:v>0.46978559241293349</c:v>
                </c:pt>
                <c:pt idx="12">
                  <c:v>0.40274979124911559</c:v>
                </c:pt>
                <c:pt idx="13">
                  <c:v>0.33838432524329698</c:v>
                </c:pt>
                <c:pt idx="14">
                  <c:v>0.27838907072738661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A8-4371-86AE-24FC0B5B40D5}"/>
            </c:ext>
          </c:extLst>
        </c:ser>
        <c:ser>
          <c:idx val="14"/>
          <c:order val="14"/>
          <c:tx>
            <c:strRef>
              <c:f>LX4_SMF!$AT$39:$AT$40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LX4_SMF!$AT$43:$AT$57</c:f>
              <c:numCache>
                <c:formatCode>0%</c:formatCode>
                <c:ptCount val="15"/>
                <c:pt idx="0">
                  <c:v>0.27838907072738683</c:v>
                </c:pt>
                <c:pt idx="1">
                  <c:v>0.33838432524329765</c:v>
                </c:pt>
                <c:pt idx="2">
                  <c:v>0.40274979124911559</c:v>
                </c:pt>
                <c:pt idx="3">
                  <c:v>0.46978559241293394</c:v>
                </c:pt>
                <c:pt idx="4">
                  <c:v>0.53753519968335062</c:v>
                </c:pt>
                <c:pt idx="5">
                  <c:v>0.60393255152245606</c:v>
                </c:pt>
                <c:pt idx="6">
                  <c:v>0.66695634620236666</c:v>
                </c:pt>
                <c:pt idx="7">
                  <c:v>0.72476787265379627</c:v>
                </c:pt>
                <c:pt idx="8">
                  <c:v>0.77581232371572817</c:v>
                </c:pt>
                <c:pt idx="9">
                  <c:v>0.81887146550404455</c:v>
                </c:pt>
                <c:pt idx="10">
                  <c:v>0.85306601069635057</c:v>
                </c:pt>
                <c:pt idx="11">
                  <c:v>0.87781661566659674</c:v>
                </c:pt>
                <c:pt idx="12">
                  <c:v>0.89278063555504872</c:v>
                </c:pt>
                <c:pt idx="13">
                  <c:v>0.89778576620752437</c:v>
                </c:pt>
                <c:pt idx="14">
                  <c:v>0.89278063555504894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A8-4371-86AE-24FC0B5B40D5}"/>
            </c:ext>
          </c:extLst>
        </c:ser>
        <c:ser>
          <c:idx val="15"/>
          <c:order val="15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LX4_SMF!$AL$55:$AL$69</c:f>
              <c:numCache>
                <c:formatCode>General</c:formatCode>
                <c:ptCount val="15"/>
                <c:pt idx="0">
                  <c:v>0.32187499999999997</c:v>
                </c:pt>
                <c:pt idx="1">
                  <c:v>0.37187499999999996</c:v>
                </c:pt>
                <c:pt idx="2">
                  <c:v>0.42187499999999994</c:v>
                </c:pt>
                <c:pt idx="3">
                  <c:v>0.47187499999999999</c:v>
                </c:pt>
                <c:pt idx="4">
                  <c:v>0.52187500000000009</c:v>
                </c:pt>
                <c:pt idx="5">
                  <c:v>0.57187500000000013</c:v>
                </c:pt>
                <c:pt idx="6">
                  <c:v>0.62187500000000018</c:v>
                </c:pt>
                <c:pt idx="7">
                  <c:v>0.67187500000000022</c:v>
                </c:pt>
                <c:pt idx="8">
                  <c:v>0.72187500000000027</c:v>
                </c:pt>
                <c:pt idx="9">
                  <c:v>0.77187500000000031</c:v>
                </c:pt>
                <c:pt idx="10">
                  <c:v>0.82187500000000036</c:v>
                </c:pt>
                <c:pt idx="11">
                  <c:v>0.87187500000000018</c:v>
                </c:pt>
                <c:pt idx="12">
                  <c:v>0.92187500000000022</c:v>
                </c:pt>
                <c:pt idx="13">
                  <c:v>0.97187500000000027</c:v>
                </c:pt>
                <c:pt idx="14">
                  <c:v>1.0218750000000003</c:v>
                </c:pt>
              </c:numCache>
            </c:numRef>
          </c:xVal>
          <c:yVal>
            <c:numRef>
              <c:f>LX4_SMF!$AW$55:$AW$69</c:f>
              <c:numCache>
                <c:formatCode>0%</c:formatCode>
                <c:ptCount val="15"/>
                <c:pt idx="0">
                  <c:v>0.10721936444495128</c:v>
                </c:pt>
                <c:pt idx="1">
                  <c:v>0.10221423379247563</c:v>
                </c:pt>
                <c:pt idx="2">
                  <c:v>0.10721936444495106</c:v>
                </c:pt>
                <c:pt idx="3">
                  <c:v>0.12218338433340326</c:v>
                </c:pt>
                <c:pt idx="4">
                  <c:v>0.14693398930364943</c:v>
                </c:pt>
                <c:pt idx="5">
                  <c:v>0.18112853449595545</c:v>
                </c:pt>
                <c:pt idx="6">
                  <c:v>0.22418767628427205</c:v>
                </c:pt>
                <c:pt idx="7">
                  <c:v>0.27523212734620417</c:v>
                </c:pt>
                <c:pt idx="8">
                  <c:v>0.33304365379763357</c:v>
                </c:pt>
                <c:pt idx="9">
                  <c:v>0.39606744847754416</c:v>
                </c:pt>
                <c:pt idx="10">
                  <c:v>0.46246480031664983</c:v>
                </c:pt>
                <c:pt idx="11">
                  <c:v>0.53021440758706651</c:v>
                </c:pt>
                <c:pt idx="12">
                  <c:v>0.59725020875088441</c:v>
                </c:pt>
                <c:pt idx="13">
                  <c:v>0.66161567475670302</c:v>
                </c:pt>
                <c:pt idx="14">
                  <c:v>0.72161092927261339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A8-4371-86AE-24FC0B5B40D5}"/>
            </c:ext>
          </c:extLst>
        </c:ser>
        <c:ser>
          <c:idx val="16"/>
          <c:order val="16"/>
          <c:tx>
            <c:strRef>
              <c:f>LX4_SMF!$AW$39:$AW$40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LX4_SMF!$AM$43:$AM$57</c:f>
              <c:numCache>
                <c:formatCode>General</c:formatCode>
                <c:ptCount val="15"/>
                <c:pt idx="0">
                  <c:v>-2.1875000000000033E-2</c:v>
                </c:pt>
                <c:pt idx="1">
                  <c:v>2.8124999999999969E-2</c:v>
                </c:pt>
                <c:pt idx="2">
                  <c:v>7.8124999999999972E-2</c:v>
                </c:pt>
                <c:pt idx="3">
                  <c:v>0.12812499999999999</c:v>
                </c:pt>
                <c:pt idx="4">
                  <c:v>0.17812499999999998</c:v>
                </c:pt>
                <c:pt idx="5">
                  <c:v>0.22812499999999999</c:v>
                </c:pt>
                <c:pt idx="6">
                  <c:v>0.27812500000000001</c:v>
                </c:pt>
                <c:pt idx="7">
                  <c:v>0.328125</c:v>
                </c:pt>
                <c:pt idx="8">
                  <c:v>0.37812499999999999</c:v>
                </c:pt>
                <c:pt idx="9">
                  <c:v>0.42812499999999998</c:v>
                </c:pt>
                <c:pt idx="10">
                  <c:v>0.47812499999999997</c:v>
                </c:pt>
                <c:pt idx="11">
                  <c:v>0.52812499999999996</c:v>
                </c:pt>
                <c:pt idx="12">
                  <c:v>0.578125</c:v>
                </c:pt>
                <c:pt idx="13">
                  <c:v>0.62812499999999993</c:v>
                </c:pt>
                <c:pt idx="14">
                  <c:v>0.67812499999999987</c:v>
                </c:pt>
              </c:numCache>
            </c:numRef>
          </c:xVal>
          <c:yVal>
            <c:numRef>
              <c:f>LX4_SMF!$AW$43:$AW$57</c:f>
              <c:numCache>
                <c:formatCode>0%</c:formatCode>
                <c:ptCount val="15"/>
                <c:pt idx="0">
                  <c:v>0.72161092927261317</c:v>
                </c:pt>
                <c:pt idx="1">
                  <c:v>0.66161567475670235</c:v>
                </c:pt>
                <c:pt idx="2">
                  <c:v>0.59725020875088441</c:v>
                </c:pt>
                <c:pt idx="3">
                  <c:v>0.53021440758706606</c:v>
                </c:pt>
                <c:pt idx="4">
                  <c:v>0.46246480031664938</c:v>
                </c:pt>
                <c:pt idx="5">
                  <c:v>0.39606744847754394</c:v>
                </c:pt>
                <c:pt idx="6">
                  <c:v>0.33304365379763334</c:v>
                </c:pt>
                <c:pt idx="7">
                  <c:v>0.27523212734620373</c:v>
                </c:pt>
                <c:pt idx="8">
                  <c:v>0.22418767628427183</c:v>
                </c:pt>
                <c:pt idx="9">
                  <c:v>0.18112853449595545</c:v>
                </c:pt>
                <c:pt idx="10">
                  <c:v>0.14693398930364943</c:v>
                </c:pt>
                <c:pt idx="11">
                  <c:v>0.12218338433340326</c:v>
                </c:pt>
                <c:pt idx="12">
                  <c:v>0.10721936444495128</c:v>
                </c:pt>
                <c:pt idx="13">
                  <c:v>0.10221423379247563</c:v>
                </c:pt>
                <c:pt idx="14">
                  <c:v>0.10721936444495106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A8-4371-86AE-24FC0B5B40D5}"/>
            </c:ext>
          </c:extLst>
        </c:ser>
        <c:ser>
          <c:idx val="17"/>
          <c:order val="17"/>
          <c:tx>
            <c:strRef>
              <c:f>LX4_SMF!$AI$8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LX4_SMF!$AJ$8:$AJ$9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LX4_SMF!$AK$8:$AK$9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A8-4371-86AE-24FC0B5B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41647"/>
        <c:axId val="1"/>
      </c:scatterChart>
      <c:valAx>
        <c:axId val="946841647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4164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3794813134748"/>
          <c:y val="0.11960510426830361"/>
          <c:w val="0.61182630434868057"/>
          <c:h val="0.69769644156510435"/>
        </c:manualLayout>
      </c:layout>
      <c:scatterChart>
        <c:scatterStyle val="lineMarker"/>
        <c:varyColors val="0"/>
        <c:ser>
          <c:idx val="1"/>
          <c:order val="0"/>
          <c:tx>
            <c:strRef>
              <c:f>'1310S'!$B$15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'1310S'!$B$18:$B$38</c:f>
              <c:numCache>
                <c:formatCode>0.00</c:formatCode>
                <c:ptCount val="21"/>
                <c:pt idx="0">
                  <c:v>3.1486601181471277</c:v>
                </c:pt>
                <c:pt idx="1">
                  <c:v>3.2536154554186987</c:v>
                </c:pt>
                <c:pt idx="2">
                  <c:v>3.3585707926902697</c:v>
                </c:pt>
                <c:pt idx="3">
                  <c:v>3.4635261299618407</c:v>
                </c:pt>
                <c:pt idx="4">
                  <c:v>3.5684814672334118</c:v>
                </c:pt>
                <c:pt idx="5">
                  <c:v>3.6734368045049828</c:v>
                </c:pt>
                <c:pt idx="6">
                  <c:v>3.7783921417765534</c:v>
                </c:pt>
                <c:pt idx="7">
                  <c:v>3.8833474790481244</c:v>
                </c:pt>
                <c:pt idx="8">
                  <c:v>3.9883028163196954</c:v>
                </c:pt>
                <c:pt idx="9">
                  <c:v>4.0932581535912664</c:v>
                </c:pt>
                <c:pt idx="10">
                  <c:v>4.1982134908628375</c:v>
                </c:pt>
                <c:pt idx="11">
                  <c:v>4.3031688281344085</c:v>
                </c:pt>
                <c:pt idx="12">
                  <c:v>4.4081241654059795</c:v>
                </c:pt>
                <c:pt idx="13">
                  <c:v>4.5130795026775505</c:v>
                </c:pt>
                <c:pt idx="14">
                  <c:v>4.6180348399491216</c:v>
                </c:pt>
                <c:pt idx="15">
                  <c:v>4.7229901772206917</c:v>
                </c:pt>
                <c:pt idx="16">
                  <c:v>4.8279455144922627</c:v>
                </c:pt>
                <c:pt idx="17">
                  <c:v>4.9329008517638337</c:v>
                </c:pt>
                <c:pt idx="18">
                  <c:v>5.0378561890354039</c:v>
                </c:pt>
                <c:pt idx="19">
                  <c:v>5.1428115263069749</c:v>
                </c:pt>
                <c:pt idx="20">
                  <c:v>5.2477668635785459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9-450C-8F26-635532B11077}"/>
            </c:ext>
          </c:extLst>
        </c:ser>
        <c:ser>
          <c:idx val="0"/>
          <c:order val="1"/>
          <c:tx>
            <c:strRef>
              <c:f>'1310S'!$J$14:$J$15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'1310S'!$J$18:$J$38</c:f>
              <c:numCache>
                <c:formatCode>0.00</c:formatCode>
                <c:ptCount val="21"/>
                <c:pt idx="0">
                  <c:v>1.9747383776032454</c:v>
                </c:pt>
                <c:pt idx="1">
                  <c:v>1.9940433811943823</c:v>
                </c:pt>
                <c:pt idx="2">
                  <c:v>2.0139912533361306</c:v>
                </c:pt>
                <c:pt idx="3">
                  <c:v>2.0345827724012326</c:v>
                </c:pt>
                <c:pt idx="4">
                  <c:v>2.0558187264016832</c:v>
                </c:pt>
                <c:pt idx="5">
                  <c:v>2.0776999140906751</c:v>
                </c:pt>
                <c:pt idx="6">
                  <c:v>2.1002271463715316</c:v>
                </c:pt>
                <c:pt idx="7">
                  <c:v>2.1234012480203082</c:v>
                </c:pt>
                <c:pt idx="8">
                  <c:v>2.1472230597275295</c:v>
                </c:pt>
                <c:pt idx="9">
                  <c:v>2.1716934404634145</c:v>
                </c:pt>
                <c:pt idx="10">
                  <c:v>2.1968132701697702</c:v>
                </c:pt>
                <c:pt idx="11">
                  <c:v>2.2225834527807731</c:v>
                </c:pt>
                <c:pt idx="12">
                  <c:v>2.2490049195738844</c:v>
                </c:pt>
                <c:pt idx="13">
                  <c:v>2.2760786328513309</c:v>
                </c:pt>
                <c:pt idx="14">
                  <c:v>2.3038055899517662</c:v>
                </c:pt>
                <c:pt idx="15">
                  <c:v>2.3321868275911855</c:v>
                </c:pt>
                <c:pt idx="16">
                  <c:v>2.3612234265315433</c:v>
                </c:pt>
                <c:pt idx="17">
                  <c:v>2.3909165165751398</c:v>
                </c:pt>
                <c:pt idx="18">
                  <c:v>2.4212672818825238</c:v>
                </c:pt>
                <c:pt idx="19">
                  <c:v>2.4522769666115116</c:v>
                </c:pt>
                <c:pt idx="20">
                  <c:v>2.4839468808748029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9-450C-8F26-635532B11077}"/>
            </c:ext>
          </c:extLst>
        </c:ser>
        <c:ser>
          <c:idx val="6"/>
          <c:order val="2"/>
          <c:tx>
            <c:strRef>
              <c:f>'1310S'!$L$14:$L$15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9-450C-8F26-635532B11077}"/>
            </c:ext>
          </c:extLst>
        </c:ser>
        <c:ser>
          <c:idx val="3"/>
          <c:order val="3"/>
          <c:tx>
            <c:strRef>
              <c:f>'1310S'!$R$15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'1310S'!$R$18:$R$38</c:f>
              <c:numCache>
                <c:formatCode>0.00</c:formatCode>
                <c:ptCount val="21"/>
                <c:pt idx="0">
                  <c:v>0.23818338056709507</c:v>
                </c:pt>
                <c:pt idx="1">
                  <c:v>0.23673500915738799</c:v>
                </c:pt>
                <c:pt idx="2">
                  <c:v>0.23537532800595773</c:v>
                </c:pt>
                <c:pt idx="3">
                  <c:v>0.23410427952441126</c:v>
                </c:pt>
                <c:pt idx="4">
                  <c:v>0.2329218331599946</c:v>
                </c:pt>
                <c:pt idx="5">
                  <c:v>0.2318279857260426</c:v>
                </c:pt>
                <c:pt idx="6">
                  <c:v>0.23082276253882081</c:v>
                </c:pt>
                <c:pt idx="7">
                  <c:v>0.22990621924146776</c:v>
                </c:pt>
                <c:pt idx="8">
                  <c:v>0.22907844421002754</c:v>
                </c:pt>
                <c:pt idx="9">
                  <c:v>0.22833956145022949</c:v>
                </c:pt>
                <c:pt idx="10">
                  <c:v>0.2276897339064724</c:v>
                </c:pt>
                <c:pt idx="11">
                  <c:v>0.2271291671165532</c:v>
                </c:pt>
                <c:pt idx="12">
                  <c:v>0.22665811315677517</c:v>
                </c:pt>
                <c:pt idx="13">
                  <c:v>0.22627687483238712</c:v>
                </c:pt>
                <c:pt idx="14">
                  <c:v>0.22598581007767427</c:v>
                </c:pt>
                <c:pt idx="15">
                  <c:v>0.22578533653861999</c:v>
                </c:pt>
                <c:pt idx="16">
                  <c:v>0.22567593631880087</c:v>
                </c:pt>
                <c:pt idx="17">
                  <c:v>0.2256581608762474</c:v>
                </c:pt>
                <c:pt idx="18">
                  <c:v>0.22573263606532545</c:v>
                </c:pt>
                <c:pt idx="19">
                  <c:v>0.22590006732347431</c:v>
                </c:pt>
                <c:pt idx="20">
                  <c:v>0.22616124500783821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9-450C-8F26-635532B11077}"/>
            </c:ext>
          </c:extLst>
        </c:ser>
        <c:ser>
          <c:idx val="5"/>
          <c:order val="4"/>
          <c:tx>
            <c:strRef>
              <c:f>'1310S'!$N$14:$N$15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'1310S'!$N$18:$N$38</c:f>
              <c:numCache>
                <c:formatCode>0.00</c:formatCode>
                <c:ptCount val="21"/>
                <c:pt idx="0">
                  <c:v>0.52709002518274284</c:v>
                </c:pt>
                <c:pt idx="1">
                  <c:v>0.51589894588891805</c:v>
                </c:pt>
                <c:pt idx="2">
                  <c:v>0.50503125796347637</c:v>
                </c:pt>
                <c:pt idx="3">
                  <c:v>0.49447607170845309</c:v>
                </c:pt>
                <c:pt idx="4">
                  <c:v>0.48422293565437957</c:v>
                </c:pt>
                <c:pt idx="5">
                  <c:v>0.47426181582914073</c:v>
                </c:pt>
                <c:pt idx="6">
                  <c:v>0.46458307621949435</c:v>
                </c:pt>
                <c:pt idx="7">
                  <c:v>0.45517746034527079</c:v>
                </c:pt>
                <c:pt idx="8">
                  <c:v>0.44603607387236244</c:v>
                </c:pt>
                <c:pt idx="9">
                  <c:v>0.43715036819619113</c:v>
                </c:pt>
                <c:pt idx="10">
                  <c:v>0.42851212493242613</c:v>
                </c:pt>
                <c:pt idx="11">
                  <c:v>0.42011344125643413</c:v>
                </c:pt>
                <c:pt idx="12">
                  <c:v>0.41194671603723171</c:v>
                </c:pt>
                <c:pt idx="13">
                  <c:v>0.40400463671568027</c:v>
                </c:pt>
                <c:pt idx="14">
                  <c:v>0.39628016688030776</c:v>
                </c:pt>
                <c:pt idx="15">
                  <c:v>0.3887665344975012</c:v>
                </c:pt>
                <c:pt idx="16">
                  <c:v>0.38145722075590499</c:v>
                </c:pt>
                <c:pt idx="17">
                  <c:v>0.37434594948774103</c:v>
                </c:pt>
                <c:pt idx="18">
                  <c:v>0.36742667713237859</c:v>
                </c:pt>
                <c:pt idx="19">
                  <c:v>0.36069358320995815</c:v>
                </c:pt>
                <c:pt idx="20">
                  <c:v>0.35414106127510403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A9-450C-8F26-635532B11077}"/>
            </c:ext>
          </c:extLst>
        </c:ser>
        <c:ser>
          <c:idx val="2"/>
          <c:order val="5"/>
          <c:tx>
            <c:strRef>
              <c:f>'1310S'!$Q$15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A9-450C-8F26-635532B11077}"/>
            </c:ext>
          </c:extLst>
        </c:ser>
        <c:ser>
          <c:idx val="4"/>
          <c:order val="6"/>
          <c:tx>
            <c:strRef>
              <c:f>'1310S'!$S$14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'1310S'!$S$18:$S$38</c:f>
              <c:numCache>
                <c:formatCode>0.00</c:formatCode>
                <c:ptCount val="21"/>
                <c:pt idx="0">
                  <c:v>0.17840675494386851</c:v>
                </c:pt>
                <c:pt idx="1">
                  <c:v>0.1792261917150072</c:v>
                </c:pt>
                <c:pt idx="2">
                  <c:v>0.18017885788368104</c:v>
                </c:pt>
                <c:pt idx="3">
                  <c:v>0.18126506759847794</c:v>
                </c:pt>
                <c:pt idx="4">
                  <c:v>0.18248539821947274</c:v>
                </c:pt>
                <c:pt idx="5">
                  <c:v>0.18384068790481775</c:v>
                </c:pt>
                <c:pt idx="6">
                  <c:v>0.18533203447135108</c:v>
                </c:pt>
                <c:pt idx="7">
                  <c:v>0.18696079548811095</c:v>
                </c:pt>
                <c:pt idx="8">
                  <c:v>0.18872858957371375</c:v>
                </c:pt>
                <c:pt idx="9">
                  <c:v>0.19063729887977721</c:v>
                </c:pt>
                <c:pt idx="10">
                  <c:v>0.19268907275350061</c:v>
                </c:pt>
                <c:pt idx="11">
                  <c:v>0.19488633258302865</c:v>
                </c:pt>
                <c:pt idx="12">
                  <c:v>0.1972317778396214</c:v>
                </c:pt>
                <c:pt idx="13">
                  <c:v>0.19972839334097364</c:v>
                </c:pt>
                <c:pt idx="14">
                  <c:v>0.20237945777043509</c:v>
                </c:pt>
                <c:pt idx="15">
                  <c:v>0.20518855349760645</c:v>
                </c:pt>
                <c:pt idx="16">
                  <c:v>0.20815957775674307</c:v>
                </c:pt>
                <c:pt idx="17">
                  <c:v>0.21129675525105757</c:v>
                </c:pt>
                <c:pt idx="18">
                  <c:v>0.21460465226317477</c:v>
                </c:pt>
                <c:pt idx="19">
                  <c:v>0.21808819236519308</c:v>
                </c:pt>
                <c:pt idx="20">
                  <c:v>0.22175267383585326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A9-450C-8F26-635532B11077}"/>
            </c:ext>
          </c:extLst>
        </c:ser>
        <c:ser>
          <c:idx val="8"/>
          <c:order val="7"/>
          <c:tx>
            <c:strRef>
              <c:f>'1310S'!$T$14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'1310S'!$T$18:$T$38</c:f>
              <c:numCache>
                <c:formatCode>0.0</c:formatCode>
                <c:ptCount val="21"/>
                <c:pt idx="0">
                  <c:v>6.06707865644408</c:v>
                </c:pt>
                <c:pt idx="1">
                  <c:v>6.1795189833743942</c:v>
                </c:pt>
                <c:pt idx="2">
                  <c:v>6.2931474898795159</c:v>
                </c:pt>
                <c:pt idx="3">
                  <c:v>6.4079543211944152</c:v>
                </c:pt>
                <c:pt idx="4">
                  <c:v>6.5239303606689418</c:v>
                </c:pt>
                <c:pt idx="5">
                  <c:v>6.6410672080556594</c:v>
                </c:pt>
                <c:pt idx="6">
                  <c:v>6.7593571613777508</c:v>
                </c:pt>
                <c:pt idx="7">
                  <c:v>6.8787932021432816</c:v>
                </c:pt>
                <c:pt idx="8">
                  <c:v>6.9993689837033291</c:v>
                </c:pt>
                <c:pt idx="9">
                  <c:v>7.1210788225808788</c:v>
                </c:pt>
                <c:pt idx="10">
                  <c:v>7.243917692625006</c:v>
                </c:pt>
                <c:pt idx="11">
                  <c:v>7.3678812218711975</c:v>
                </c:pt>
                <c:pt idx="12">
                  <c:v>7.4929656920134926</c:v>
                </c:pt>
                <c:pt idx="13">
                  <c:v>7.6191680404179225</c:v>
                </c:pt>
                <c:pt idx="14">
                  <c:v>7.7464858646293049</c:v>
                </c:pt>
                <c:pt idx="15">
                  <c:v>7.8749174293456052</c:v>
                </c:pt>
                <c:pt idx="16">
                  <c:v>8.0044616758552554</c:v>
                </c:pt>
                <c:pt idx="17">
                  <c:v>8.1351182339540191</c:v>
                </c:pt>
                <c:pt idx="18">
                  <c:v>8.2668874363788056</c:v>
                </c:pt>
                <c:pt idx="19">
                  <c:v>8.399770335817113</c:v>
                </c:pt>
                <c:pt idx="20">
                  <c:v>8.533768724572143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A9-450C-8F26-635532B11077}"/>
            </c:ext>
          </c:extLst>
        </c:ser>
        <c:ser>
          <c:idx val="7"/>
          <c:order val="8"/>
          <c:tx>
            <c:strRef>
              <c:f>'1310S'!$AL$15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'1310S'!$AL$18:$AL$38</c:f>
              <c:numCache>
                <c:formatCode>General</c:formatCode>
                <c:ptCount val="21"/>
                <c:pt idx="0">
                  <c:v>7.3900000000000006</c:v>
                </c:pt>
                <c:pt idx="1">
                  <c:v>7.3900000000000006</c:v>
                </c:pt>
                <c:pt idx="2">
                  <c:v>7.3900000000000006</c:v>
                </c:pt>
                <c:pt idx="3">
                  <c:v>7.3900000000000006</c:v>
                </c:pt>
                <c:pt idx="4">
                  <c:v>7.3900000000000006</c:v>
                </c:pt>
                <c:pt idx="5">
                  <c:v>7.3900000000000006</c:v>
                </c:pt>
                <c:pt idx="6">
                  <c:v>7.3900000000000006</c:v>
                </c:pt>
                <c:pt idx="7">
                  <c:v>7.3900000000000006</c:v>
                </c:pt>
                <c:pt idx="8">
                  <c:v>7.3900000000000006</c:v>
                </c:pt>
                <c:pt idx="9">
                  <c:v>7.3900000000000006</c:v>
                </c:pt>
                <c:pt idx="10">
                  <c:v>7.3900000000000006</c:v>
                </c:pt>
                <c:pt idx="11">
                  <c:v>7.3900000000000006</c:v>
                </c:pt>
                <c:pt idx="12">
                  <c:v>7.3900000000000006</c:v>
                </c:pt>
                <c:pt idx="13">
                  <c:v>7.3900000000000006</c:v>
                </c:pt>
                <c:pt idx="14">
                  <c:v>7.3900000000000006</c:v>
                </c:pt>
                <c:pt idx="15">
                  <c:v>7.3900000000000006</c:v>
                </c:pt>
                <c:pt idx="16">
                  <c:v>7.3900000000000006</c:v>
                </c:pt>
                <c:pt idx="17">
                  <c:v>7.3900000000000006</c:v>
                </c:pt>
                <c:pt idx="18">
                  <c:v>7.3900000000000006</c:v>
                </c:pt>
                <c:pt idx="19">
                  <c:v>7.3900000000000006</c:v>
                </c:pt>
                <c:pt idx="20">
                  <c:v>7.3900000000000006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A9-450C-8F26-635532B11077}"/>
            </c:ext>
          </c:extLst>
        </c:ser>
        <c:ser>
          <c:idx val="9"/>
          <c:order val="9"/>
          <c:tx>
            <c:strRef>
              <c:f>'1310S'!$AN$14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'1310S'!$AM$18:$AM$38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xVal>
          <c:yVal>
            <c:numRef>
              <c:f>'1310S'!$AN$18:$AN$38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A9-450C-8F26-635532B11077}"/>
            </c:ext>
          </c:extLst>
        </c:ser>
        <c:ser>
          <c:idx val="10"/>
          <c:order val="10"/>
          <c:tx>
            <c:strRef>
              <c:f>'1310S'!$M$14:$M$15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'1310S'!$A$18:$A$38</c:f>
              <c:numCache>
                <c:formatCode>0.00#</c:formatCode>
                <c:ptCount val="21"/>
                <c:pt idx="0">
                  <c:v>7.5</c:v>
                </c:pt>
                <c:pt idx="1">
                  <c:v>7.75</c:v>
                </c:pt>
                <c:pt idx="2">
                  <c:v>8</c:v>
                </c:pt>
                <c:pt idx="3">
                  <c:v>8.25</c:v>
                </c:pt>
                <c:pt idx="4">
                  <c:v>8.5</c:v>
                </c:pt>
                <c:pt idx="5">
                  <c:v>8.75</c:v>
                </c:pt>
                <c:pt idx="6">
                  <c:v>9</c:v>
                </c:pt>
                <c:pt idx="7">
                  <c:v>9.25</c:v>
                </c:pt>
                <c:pt idx="8">
                  <c:v>9.5</c:v>
                </c:pt>
                <c:pt idx="9">
                  <c:v>9.75</c:v>
                </c:pt>
                <c:pt idx="10">
                  <c:v>10</c:v>
                </c:pt>
                <c:pt idx="11">
                  <c:v>10.25</c:v>
                </c:pt>
                <c:pt idx="12">
                  <c:v>10.5</c:v>
                </c:pt>
                <c:pt idx="13">
                  <c:v>10.75</c:v>
                </c:pt>
                <c:pt idx="14">
                  <c:v>11</c:v>
                </c:pt>
                <c:pt idx="15">
                  <c:v>11.25</c:v>
                </c:pt>
                <c:pt idx="16">
                  <c:v>11.5</c:v>
                </c:pt>
                <c:pt idx="17">
                  <c:v>11.75</c:v>
                </c:pt>
                <c:pt idx="18">
                  <c:v>12</c:v>
                </c:pt>
                <c:pt idx="19">
                  <c:v>12.25</c:v>
                </c:pt>
                <c:pt idx="20">
                  <c:v>12.5</c:v>
                </c:pt>
              </c:numCache>
            </c:numRef>
          </c:xVal>
          <c:yVal>
            <c:numRef>
              <c:f>'1310S'!$M$18:$M$38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A9-450C-8F26-635532B1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18127"/>
        <c:axId val="1"/>
      </c:scatterChart>
      <c:valAx>
        <c:axId val="823018127"/>
        <c:scaling>
          <c:orientation val="minMax"/>
          <c:max val="12.5"/>
          <c:min val="7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747178426190531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11726417512997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1812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601947643971979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1ED-A288-406C18EBE113}"/>
            </c:ext>
          </c:extLst>
        </c:ser>
        <c:ser>
          <c:idx val="1"/>
          <c:order val="1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1ED-A288-406C18EBE113}"/>
            </c:ext>
          </c:extLst>
        </c:ser>
        <c:ser>
          <c:idx val="2"/>
          <c:order val="2"/>
          <c:tx>
            <c:strRef>
              <c:f>'1310S'!$AD$40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'1310S'!$AD$41:$AD$69</c:f>
              <c:numCache>
                <c:formatCode>0%</c:formatCode>
                <c:ptCount val="29"/>
                <c:pt idx="0">
                  <c:v>0.20259561093578377</c:v>
                </c:pt>
                <c:pt idx="1">
                  <c:v>0.24691134444089458</c:v>
                </c:pt>
                <c:pt idx="2">
                  <c:v>0.29594569221190931</c:v>
                </c:pt>
                <c:pt idx="3">
                  <c:v>0.34902544974376154</c:v>
                </c:pt>
                <c:pt idx="4">
                  <c:v>0.4052393252274919</c:v>
                </c:pt>
                <c:pt idx="5">
                  <c:v>0.46348238684807874</c:v>
                </c:pt>
                <c:pt idx="6">
                  <c:v>0.52252029187856752</c:v>
                </c:pt>
                <c:pt idx="7">
                  <c:v>0.58106717153741638</c:v>
                </c:pt>
                <c:pt idx="8">
                  <c:v>0.63786904272040501</c:v>
                </c:pt>
                <c:pt idx="9">
                  <c:v>0.69178379370797305</c:v>
                </c:pt>
                <c:pt idx="10">
                  <c:v>0.7418493026088242</c:v>
                </c:pt>
                <c:pt idx="11">
                  <c:v>0.78733299708749438</c:v>
                </c:pt>
                <c:pt idx="12">
                  <c:v>0.8277588224911494</c:v>
                </c:pt>
                <c:pt idx="13">
                  <c:v>0.86291066691711926</c:v>
                </c:pt>
                <c:pt idx="14">
                  <c:v>0.89281426127361974</c:v>
                </c:pt>
                <c:pt idx="15">
                  <c:v>0.91770195856886083</c:v>
                </c:pt>
                <c:pt idx="16">
                  <c:v>0.93796628065333265</c:v>
                </c:pt>
                <c:pt idx="17">
                  <c:v>0.95410858295172685</c:v>
                </c:pt>
                <c:pt idx="18">
                  <c:v>0.96668870622582337</c:v>
                </c:pt>
                <c:pt idx="19">
                  <c:v>0.97628029017433149</c:v>
                </c:pt>
                <c:pt idx="20">
                  <c:v>0.98343483109513485</c:v>
                </c:pt>
                <c:pt idx="21">
                  <c:v>0.98865589735713233</c:v>
                </c:pt>
                <c:pt idx="22">
                  <c:v>0.9923834399899214</c:v>
                </c:pt>
                <c:pt idx="23">
                  <c:v>0.99498702643648773</c:v>
                </c:pt>
                <c:pt idx="24">
                  <c:v>0.9967661550309852</c:v>
                </c:pt>
                <c:pt idx="25">
                  <c:v>0.99795555690394455</c:v>
                </c:pt>
                <c:pt idx="26">
                  <c:v>0.99873347848822125</c:v>
                </c:pt>
                <c:pt idx="27">
                  <c:v>0.99923124873563873</c:v>
                </c:pt>
                <c:pt idx="28">
                  <c:v>0.99954285626281658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1ED-A288-406C18EBE113}"/>
            </c:ext>
          </c:extLst>
        </c:ser>
        <c:ser>
          <c:idx val="3"/>
          <c:order val="3"/>
          <c:tx>
            <c:strRef>
              <c:f>'1310S'!$AE$40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'1310S'!$AE$41:$AE$69</c:f>
              <c:numCache>
                <c:formatCode>0%</c:formatCode>
                <c:ptCount val="29"/>
                <c:pt idx="0">
                  <c:v>0.99984804444162401</c:v>
                </c:pt>
                <c:pt idx="1">
                  <c:v>0.99973369776229459</c:v>
                </c:pt>
                <c:pt idx="2">
                  <c:v>0.99954285626281658</c:v>
                </c:pt>
                <c:pt idx="3">
                  <c:v>0.99923124873563873</c:v>
                </c:pt>
                <c:pt idx="4">
                  <c:v>0.99873347848822125</c:v>
                </c:pt>
                <c:pt idx="5">
                  <c:v>0.99795555690394455</c:v>
                </c:pt>
                <c:pt idx="6">
                  <c:v>0.99676615503098509</c:v>
                </c:pt>
                <c:pt idx="7">
                  <c:v>0.99498702643648773</c:v>
                </c:pt>
                <c:pt idx="8">
                  <c:v>0.9923834399899214</c:v>
                </c:pt>
                <c:pt idx="9">
                  <c:v>0.98865589735713233</c:v>
                </c:pt>
                <c:pt idx="10">
                  <c:v>0.98343483109513485</c:v>
                </c:pt>
                <c:pt idx="11">
                  <c:v>0.97628029017433149</c:v>
                </c:pt>
                <c:pt idx="12">
                  <c:v>0.96668870622582337</c:v>
                </c:pt>
                <c:pt idx="13">
                  <c:v>0.95410858295172685</c:v>
                </c:pt>
                <c:pt idx="14">
                  <c:v>0.93796628065333265</c:v>
                </c:pt>
                <c:pt idx="15">
                  <c:v>0.91770195856886083</c:v>
                </c:pt>
                <c:pt idx="16">
                  <c:v>0.89281426127361985</c:v>
                </c:pt>
                <c:pt idx="17">
                  <c:v>0.86291066691711926</c:v>
                </c:pt>
                <c:pt idx="18">
                  <c:v>0.82775882249114929</c:v>
                </c:pt>
                <c:pt idx="19">
                  <c:v>0.78733299708749438</c:v>
                </c:pt>
                <c:pt idx="20">
                  <c:v>0.74184930260882398</c:v>
                </c:pt>
                <c:pt idx="21">
                  <c:v>0.69178379370797272</c:v>
                </c:pt>
                <c:pt idx="22">
                  <c:v>0.6378690427204049</c:v>
                </c:pt>
                <c:pt idx="23">
                  <c:v>0.58106717153741616</c:v>
                </c:pt>
                <c:pt idx="24">
                  <c:v>0.52252029187856719</c:v>
                </c:pt>
                <c:pt idx="25">
                  <c:v>0.46348238684807835</c:v>
                </c:pt>
                <c:pt idx="26">
                  <c:v>0.40523932522749162</c:v>
                </c:pt>
                <c:pt idx="27">
                  <c:v>0.34902544974376126</c:v>
                </c:pt>
                <c:pt idx="28">
                  <c:v>0.29594569221190908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6-41ED-A288-406C18EBE113}"/>
            </c:ext>
          </c:extLst>
        </c:ser>
        <c:ser>
          <c:idx val="4"/>
          <c:order val="4"/>
          <c:tx>
            <c:strRef>
              <c:f>'1310S'!$AF$40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6-41ED-A288-406C18EBE113}"/>
            </c:ext>
          </c:extLst>
        </c:ser>
        <c:ser>
          <c:idx val="5"/>
          <c:order val="5"/>
          <c:tx>
            <c:strRef>
              <c:f>'1310S'!$AG$40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'1310S'!$AG$41:$AG$69</c:f>
              <c:numCache>
                <c:formatCode>0%</c:formatCode>
                <c:ptCount val="29"/>
                <c:pt idx="0">
                  <c:v>0.79740438906421618</c:v>
                </c:pt>
                <c:pt idx="1">
                  <c:v>0.75308865555910542</c:v>
                </c:pt>
                <c:pt idx="2">
                  <c:v>0.70405430778809075</c:v>
                </c:pt>
                <c:pt idx="3">
                  <c:v>0.65097455025623852</c:v>
                </c:pt>
                <c:pt idx="4">
                  <c:v>0.59476067477250805</c:v>
                </c:pt>
                <c:pt idx="5">
                  <c:v>0.53651761315192126</c:v>
                </c:pt>
                <c:pt idx="6">
                  <c:v>0.47747970812143248</c:v>
                </c:pt>
                <c:pt idx="7">
                  <c:v>0.41893282846258362</c:v>
                </c:pt>
                <c:pt idx="8">
                  <c:v>0.36213095727959499</c:v>
                </c:pt>
                <c:pt idx="9">
                  <c:v>0.30821620629202695</c:v>
                </c:pt>
                <c:pt idx="10">
                  <c:v>0.2581506973911758</c:v>
                </c:pt>
                <c:pt idx="11">
                  <c:v>0.21266700291250562</c:v>
                </c:pt>
                <c:pt idx="12">
                  <c:v>0.1722411775088506</c:v>
                </c:pt>
                <c:pt idx="13">
                  <c:v>0.13708933308288074</c:v>
                </c:pt>
                <c:pt idx="14">
                  <c:v>0.10718573872638026</c:v>
                </c:pt>
                <c:pt idx="15">
                  <c:v>8.2298041431139168E-2</c:v>
                </c:pt>
                <c:pt idx="16">
                  <c:v>6.2033719346667349E-2</c:v>
                </c:pt>
                <c:pt idx="17">
                  <c:v>4.5891417048273153E-2</c:v>
                </c:pt>
                <c:pt idx="18">
                  <c:v>3.3311293774176631E-2</c:v>
                </c:pt>
                <c:pt idx="19">
                  <c:v>2.3719709825668511E-2</c:v>
                </c:pt>
                <c:pt idx="20">
                  <c:v>1.6565168904865146E-2</c:v>
                </c:pt>
                <c:pt idx="21">
                  <c:v>1.1344102642867671E-2</c:v>
                </c:pt>
                <c:pt idx="22">
                  <c:v>7.6165600100785991E-3</c:v>
                </c:pt>
                <c:pt idx="23">
                  <c:v>5.0129735635122685E-3</c:v>
                </c:pt>
                <c:pt idx="24">
                  <c:v>3.2338449690147986E-3</c:v>
                </c:pt>
                <c:pt idx="25">
                  <c:v>2.0444430960554483E-3</c:v>
                </c:pt>
                <c:pt idx="26">
                  <c:v>1.2665215117787509E-3</c:v>
                </c:pt>
                <c:pt idx="27">
                  <c:v>7.6875126436126706E-4</c:v>
                </c:pt>
                <c:pt idx="28">
                  <c:v>4.5714373718341861E-4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56-41ED-A288-406C18EBE113}"/>
            </c:ext>
          </c:extLst>
        </c:ser>
        <c:ser>
          <c:idx val="6"/>
          <c:order val="6"/>
          <c:tx>
            <c:strRef>
              <c:f>'1310S'!$AH$40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'1310S'!$AH$41:$AH$69</c:f>
              <c:numCache>
                <c:formatCode>0%</c:formatCode>
                <c:ptCount val="29"/>
                <c:pt idx="0">
                  <c:v>1.519555583759935E-4</c:v>
                </c:pt>
                <c:pt idx="1">
                  <c:v>2.6630223770540695E-4</c:v>
                </c:pt>
                <c:pt idx="2">
                  <c:v>4.5714373718341861E-4</c:v>
                </c:pt>
                <c:pt idx="3">
                  <c:v>7.6875126436126706E-4</c:v>
                </c:pt>
                <c:pt idx="4">
                  <c:v>1.2665215117787509E-3</c:v>
                </c:pt>
                <c:pt idx="5">
                  <c:v>2.0444430960554483E-3</c:v>
                </c:pt>
                <c:pt idx="6">
                  <c:v>3.2338449690149096E-3</c:v>
                </c:pt>
                <c:pt idx="7">
                  <c:v>5.0129735635122685E-3</c:v>
                </c:pt>
                <c:pt idx="8">
                  <c:v>7.6165600100785991E-3</c:v>
                </c:pt>
                <c:pt idx="9">
                  <c:v>1.1344102642867671E-2</c:v>
                </c:pt>
                <c:pt idx="10">
                  <c:v>1.6565168904865146E-2</c:v>
                </c:pt>
                <c:pt idx="11">
                  <c:v>2.3719709825668511E-2</c:v>
                </c:pt>
                <c:pt idx="12">
                  <c:v>3.3311293774176631E-2</c:v>
                </c:pt>
                <c:pt idx="13">
                  <c:v>4.5891417048273153E-2</c:v>
                </c:pt>
                <c:pt idx="14">
                  <c:v>6.2033719346667349E-2</c:v>
                </c:pt>
                <c:pt idx="15">
                  <c:v>8.2298041431139168E-2</c:v>
                </c:pt>
                <c:pt idx="16">
                  <c:v>0.10718573872638015</c:v>
                </c:pt>
                <c:pt idx="17">
                  <c:v>0.13708933308288074</c:v>
                </c:pt>
                <c:pt idx="18">
                  <c:v>0.17224117750885071</c:v>
                </c:pt>
                <c:pt idx="19">
                  <c:v>0.21266700291250562</c:v>
                </c:pt>
                <c:pt idx="20">
                  <c:v>0.25815069739117602</c:v>
                </c:pt>
                <c:pt idx="21">
                  <c:v>0.30821620629202728</c:v>
                </c:pt>
                <c:pt idx="22">
                  <c:v>0.3621309572795951</c:v>
                </c:pt>
                <c:pt idx="23">
                  <c:v>0.41893282846258384</c:v>
                </c:pt>
                <c:pt idx="24">
                  <c:v>0.47747970812143281</c:v>
                </c:pt>
                <c:pt idx="25">
                  <c:v>0.53651761315192159</c:v>
                </c:pt>
                <c:pt idx="26">
                  <c:v>0.59476067477250838</c:v>
                </c:pt>
                <c:pt idx="27">
                  <c:v>0.65097455025623874</c:v>
                </c:pt>
                <c:pt idx="28">
                  <c:v>0.70405430778809097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56-41ED-A288-406C18EBE113}"/>
            </c:ext>
          </c:extLst>
        </c:ser>
        <c:ser>
          <c:idx val="7"/>
          <c:order val="7"/>
          <c:tx>
            <c:strRef>
              <c:f>'1310S'!$AI$40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56-41ED-A288-406C18EBE113}"/>
            </c:ext>
          </c:extLst>
        </c:ser>
        <c:ser>
          <c:idx val="8"/>
          <c:order val="8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56-41ED-A288-406C18EBE113}"/>
            </c:ext>
          </c:extLst>
        </c:ser>
        <c:ser>
          <c:idx val="9"/>
          <c:order val="9"/>
          <c:tx>
            <c:strRef>
              <c:f>'1310S'!$AO$40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'1310S'!$AN$41:$AN$47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'1310S'!$AO$41:$AO$47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56-41ED-A288-406C18EBE113}"/>
            </c:ext>
          </c:extLst>
        </c:ser>
        <c:ser>
          <c:idx val="10"/>
          <c:order val="10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'1310S'!$AF$41:$AF$69</c:f>
              <c:numCache>
                <c:formatCode>0%</c:formatCode>
                <c:ptCount val="29"/>
                <c:pt idx="0">
                  <c:v>0.20244365537740783</c:v>
                </c:pt>
                <c:pt idx="1">
                  <c:v>0.24664504220318917</c:v>
                </c:pt>
                <c:pt idx="2">
                  <c:v>0.29548854847472583</c:v>
                </c:pt>
                <c:pt idx="3">
                  <c:v>0.34825669847940022</c:v>
                </c:pt>
                <c:pt idx="4">
                  <c:v>0.40397280371571309</c:v>
                </c:pt>
                <c:pt idx="5">
                  <c:v>0.46143794375202329</c:v>
                </c:pt>
                <c:pt idx="6">
                  <c:v>0.51928644690955261</c:v>
                </c:pt>
                <c:pt idx="7">
                  <c:v>0.576054197973904</c:v>
                </c:pt>
                <c:pt idx="8">
                  <c:v>0.63025248271032641</c:v>
                </c:pt>
                <c:pt idx="9">
                  <c:v>0.68043969106510538</c:v>
                </c:pt>
                <c:pt idx="10">
                  <c:v>0.72528413370395906</c:v>
                </c:pt>
                <c:pt idx="11">
                  <c:v>0.76361328726182576</c:v>
                </c:pt>
                <c:pt idx="12">
                  <c:v>0.79444752871697277</c:v>
                </c:pt>
                <c:pt idx="13">
                  <c:v>0.81701924986884622</c:v>
                </c:pt>
                <c:pt idx="14">
                  <c:v>0.8307805419269525</c:v>
                </c:pt>
                <c:pt idx="15">
                  <c:v>0.83540391713772166</c:v>
                </c:pt>
                <c:pt idx="16">
                  <c:v>0.8307805419269525</c:v>
                </c:pt>
                <c:pt idx="17">
                  <c:v>0.81701924986884622</c:v>
                </c:pt>
                <c:pt idx="18">
                  <c:v>0.79444752871697277</c:v>
                </c:pt>
                <c:pt idx="19">
                  <c:v>0.76361328726182576</c:v>
                </c:pt>
                <c:pt idx="20">
                  <c:v>0.72528413370395883</c:v>
                </c:pt>
                <c:pt idx="21">
                  <c:v>0.68043969106510493</c:v>
                </c:pt>
                <c:pt idx="22">
                  <c:v>0.63025248271032641</c:v>
                </c:pt>
                <c:pt idx="23">
                  <c:v>0.576054197973904</c:v>
                </c:pt>
                <c:pt idx="24">
                  <c:v>0.51928644690955239</c:v>
                </c:pt>
                <c:pt idx="25">
                  <c:v>0.46143794375202285</c:v>
                </c:pt>
                <c:pt idx="26">
                  <c:v>0.40397280371571287</c:v>
                </c:pt>
                <c:pt idx="27">
                  <c:v>0.3482566984794</c:v>
                </c:pt>
                <c:pt idx="28">
                  <c:v>0.29548854847472561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56-41ED-A288-406C18EBE113}"/>
            </c:ext>
          </c:extLst>
        </c:ser>
        <c:ser>
          <c:idx val="11"/>
          <c:order val="11"/>
          <c:tx>
            <c:strRef>
              <c:f>'1310S'!$AL$40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56-41ED-A288-406C18EBE113}"/>
            </c:ext>
          </c:extLst>
        </c:ser>
        <c:ser>
          <c:idx val="12"/>
          <c:order val="12"/>
          <c:tx>
            <c:strRef>
              <c:f>'1310S'!$AM$40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'1310S'!$AM$41:$AM$69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'1310S'!$AI$41:$AI$69</c:f>
              <c:numCache>
                <c:formatCode>0%</c:formatCode>
                <c:ptCount val="29"/>
                <c:pt idx="0">
                  <c:v>0.79755634462259217</c:v>
                </c:pt>
                <c:pt idx="1">
                  <c:v>0.75335495779681083</c:v>
                </c:pt>
                <c:pt idx="2">
                  <c:v>0.70451145152527417</c:v>
                </c:pt>
                <c:pt idx="3">
                  <c:v>0.65174330152059978</c:v>
                </c:pt>
                <c:pt idx="4">
                  <c:v>0.59602719628428691</c:v>
                </c:pt>
                <c:pt idx="5">
                  <c:v>0.53856205624797671</c:v>
                </c:pt>
                <c:pt idx="6">
                  <c:v>0.48071355309044739</c:v>
                </c:pt>
                <c:pt idx="7">
                  <c:v>0.423945802026096</c:v>
                </c:pt>
                <c:pt idx="8">
                  <c:v>0.36974751728967359</c:v>
                </c:pt>
                <c:pt idx="9">
                  <c:v>0.31956030893489462</c:v>
                </c:pt>
                <c:pt idx="10">
                  <c:v>0.27471586629604094</c:v>
                </c:pt>
                <c:pt idx="11">
                  <c:v>0.23638671273817424</c:v>
                </c:pt>
                <c:pt idx="12">
                  <c:v>0.20555247128302723</c:v>
                </c:pt>
                <c:pt idx="13">
                  <c:v>0.18298075013115378</c:v>
                </c:pt>
                <c:pt idx="14">
                  <c:v>0.1692194580730475</c:v>
                </c:pt>
                <c:pt idx="15">
                  <c:v>0.16459608286227834</c:v>
                </c:pt>
                <c:pt idx="16">
                  <c:v>0.1692194580730475</c:v>
                </c:pt>
                <c:pt idx="17">
                  <c:v>0.18298075013115378</c:v>
                </c:pt>
                <c:pt idx="18">
                  <c:v>0.20555247128302723</c:v>
                </c:pt>
                <c:pt idx="19">
                  <c:v>0.23638671273817424</c:v>
                </c:pt>
                <c:pt idx="20">
                  <c:v>0.27471586629604117</c:v>
                </c:pt>
                <c:pt idx="21">
                  <c:v>0.31956030893489507</c:v>
                </c:pt>
                <c:pt idx="22">
                  <c:v>0.36974751728967359</c:v>
                </c:pt>
                <c:pt idx="23">
                  <c:v>0.423945802026096</c:v>
                </c:pt>
                <c:pt idx="24">
                  <c:v>0.48071355309044761</c:v>
                </c:pt>
                <c:pt idx="25">
                  <c:v>0.53856205624797715</c:v>
                </c:pt>
                <c:pt idx="26">
                  <c:v>0.59602719628428713</c:v>
                </c:pt>
                <c:pt idx="27">
                  <c:v>0.6517433015206</c:v>
                </c:pt>
                <c:pt idx="28">
                  <c:v>0.70451145152527439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56-41ED-A288-406C18EBE113}"/>
            </c:ext>
          </c:extLst>
        </c:ser>
        <c:ser>
          <c:idx val="13"/>
          <c:order val="13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'1310S'!$AT$55:$AT$69</c:f>
              <c:numCache>
                <c:formatCode>0%</c:formatCode>
                <c:ptCount val="15"/>
                <c:pt idx="0">
                  <c:v>0.79729362685175253</c:v>
                </c:pt>
                <c:pt idx="1">
                  <c:v>0.80150094473861788</c:v>
                </c:pt>
                <c:pt idx="2">
                  <c:v>0.79729362685175276</c:v>
                </c:pt>
                <c:pt idx="3">
                  <c:v>0.78477803410384106</c:v>
                </c:pt>
                <c:pt idx="4">
                  <c:v>0.764271357836531</c:v>
                </c:pt>
                <c:pt idx="5">
                  <c:v>0.73629555004916236</c:v>
                </c:pt>
                <c:pt idx="6">
                  <c:v>0.70156601190146972</c:v>
                </c:pt>
                <c:pt idx="7">
                  <c:v>0.66097364999477648</c:v>
                </c:pt>
                <c:pt idx="8">
                  <c:v>0.61555905894985719</c:v>
                </c:pt>
                <c:pt idx="9">
                  <c:v>0.56647823492861127</c:v>
                </c:pt>
                <c:pt idx="10">
                  <c:v>0.51496026835957931</c:v>
                </c:pt>
                <c:pt idx="11">
                  <c:v>0.46225870699299154</c:v>
                </c:pt>
                <c:pt idx="12">
                  <c:v>0.40959947015383369</c:v>
                </c:pt>
                <c:pt idx="13">
                  <c:v>0.35812908132660382</c:v>
                </c:pt>
                <c:pt idx="14">
                  <c:v>0.30886737528544428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556-41ED-A288-406C18EBE113}"/>
            </c:ext>
          </c:extLst>
        </c:ser>
        <c:ser>
          <c:idx val="14"/>
          <c:order val="14"/>
          <c:tx>
            <c:strRef>
              <c:f>'1310S'!$AT$39:$AT$40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'1310S'!$AT$43:$AT$57</c:f>
              <c:numCache>
                <c:formatCode>0%</c:formatCode>
                <c:ptCount val="15"/>
                <c:pt idx="0">
                  <c:v>0.30886737528544472</c:v>
                </c:pt>
                <c:pt idx="1">
                  <c:v>0.35812908132660404</c:v>
                </c:pt>
                <c:pt idx="2">
                  <c:v>0.40959947015383413</c:v>
                </c:pt>
                <c:pt idx="3">
                  <c:v>0.46225870699299199</c:v>
                </c:pt>
                <c:pt idx="4">
                  <c:v>0.51496026835957975</c:v>
                </c:pt>
                <c:pt idx="5">
                  <c:v>0.56647823492861127</c:v>
                </c:pt>
                <c:pt idx="6">
                  <c:v>0.61555905894985763</c:v>
                </c:pt>
                <c:pt idx="7">
                  <c:v>0.66097364999477692</c:v>
                </c:pt>
                <c:pt idx="8">
                  <c:v>0.70156601190146972</c:v>
                </c:pt>
                <c:pt idx="9">
                  <c:v>0.73629555004916236</c:v>
                </c:pt>
                <c:pt idx="10">
                  <c:v>0.76427135783653077</c:v>
                </c:pt>
                <c:pt idx="11">
                  <c:v>0.78477803410384106</c:v>
                </c:pt>
                <c:pt idx="12">
                  <c:v>0.79729362685175253</c:v>
                </c:pt>
                <c:pt idx="13">
                  <c:v>0.80150094473861788</c:v>
                </c:pt>
                <c:pt idx="14">
                  <c:v>0.79729362685175276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556-41ED-A288-406C18EBE113}"/>
            </c:ext>
          </c:extLst>
        </c:ser>
        <c:ser>
          <c:idx val="15"/>
          <c:order val="15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'1310S'!$AL$55:$AL$69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'1310S'!$AW$55:$AW$69</c:f>
              <c:numCache>
                <c:formatCode>0%</c:formatCode>
                <c:ptCount val="15"/>
                <c:pt idx="0">
                  <c:v>0.20270637314824747</c:v>
                </c:pt>
                <c:pt idx="1">
                  <c:v>0.19849905526138212</c:v>
                </c:pt>
                <c:pt idx="2">
                  <c:v>0.20270637314824724</c:v>
                </c:pt>
                <c:pt idx="3">
                  <c:v>0.21522196589615894</c:v>
                </c:pt>
                <c:pt idx="4">
                  <c:v>0.235728642163469</c:v>
                </c:pt>
                <c:pt idx="5">
                  <c:v>0.26370444995083764</c:v>
                </c:pt>
                <c:pt idx="6">
                  <c:v>0.29843398809853028</c:v>
                </c:pt>
                <c:pt idx="7">
                  <c:v>0.33902635000522352</c:v>
                </c:pt>
                <c:pt idx="8">
                  <c:v>0.38444094105014281</c:v>
                </c:pt>
                <c:pt idx="9">
                  <c:v>0.43352176507138873</c:v>
                </c:pt>
                <c:pt idx="10">
                  <c:v>0.48503973164042069</c:v>
                </c:pt>
                <c:pt idx="11">
                  <c:v>0.53774129300700846</c:v>
                </c:pt>
                <c:pt idx="12">
                  <c:v>0.59040052984616631</c:v>
                </c:pt>
                <c:pt idx="13">
                  <c:v>0.64187091867339618</c:v>
                </c:pt>
                <c:pt idx="14">
                  <c:v>0.69113262471455572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56-41ED-A288-406C18EBE113}"/>
            </c:ext>
          </c:extLst>
        </c:ser>
        <c:ser>
          <c:idx val="16"/>
          <c:order val="16"/>
          <c:tx>
            <c:strRef>
              <c:f>'1310S'!$AW$39:$AW$40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'1310S'!$AM$43:$AM$57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'1310S'!$AW$43:$AW$57</c:f>
              <c:numCache>
                <c:formatCode>0%</c:formatCode>
                <c:ptCount val="15"/>
                <c:pt idx="0">
                  <c:v>0.69113262471455528</c:v>
                </c:pt>
                <c:pt idx="1">
                  <c:v>0.64187091867339596</c:v>
                </c:pt>
                <c:pt idx="2">
                  <c:v>0.59040052984616587</c:v>
                </c:pt>
                <c:pt idx="3">
                  <c:v>0.53774129300700801</c:v>
                </c:pt>
                <c:pt idx="4">
                  <c:v>0.48503973164042025</c:v>
                </c:pt>
                <c:pt idx="5">
                  <c:v>0.43352176507138873</c:v>
                </c:pt>
                <c:pt idx="6">
                  <c:v>0.38444094105014237</c:v>
                </c:pt>
                <c:pt idx="7">
                  <c:v>0.33902635000522308</c:v>
                </c:pt>
                <c:pt idx="8">
                  <c:v>0.29843398809853028</c:v>
                </c:pt>
                <c:pt idx="9">
                  <c:v>0.26370444995083764</c:v>
                </c:pt>
                <c:pt idx="10">
                  <c:v>0.23572864216346923</c:v>
                </c:pt>
                <c:pt idx="11">
                  <c:v>0.21522196589615894</c:v>
                </c:pt>
                <c:pt idx="12">
                  <c:v>0.20270637314824747</c:v>
                </c:pt>
                <c:pt idx="13">
                  <c:v>0.19849905526138212</c:v>
                </c:pt>
                <c:pt idx="14">
                  <c:v>0.20270637314824724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556-41ED-A288-406C18EBE113}"/>
            </c:ext>
          </c:extLst>
        </c:ser>
        <c:ser>
          <c:idx val="17"/>
          <c:order val="17"/>
          <c:tx>
            <c:strRef>
              <c:f>'1310S'!$AI$8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'1310S'!$AJ$8:$AJ$9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'1310S'!$AK$8:$AK$9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556-41ED-A288-406C18EB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23951"/>
        <c:axId val="1"/>
      </c:scatterChart>
      <c:valAx>
        <c:axId val="823023951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239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'1550S30km'!$B$15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'1550S30km'!$B$18:$B$38</c:f>
              <c:numCache>
                <c:formatCode>0.00</c:formatCode>
                <c:ptCount val="21"/>
                <c:pt idx="0">
                  <c:v>5.9609785771122938</c:v>
                </c:pt>
                <c:pt idx="1">
                  <c:v>6.259027505967909</c:v>
                </c:pt>
                <c:pt idx="2">
                  <c:v>6.5570764348235233</c:v>
                </c:pt>
                <c:pt idx="3">
                  <c:v>6.8551253636791376</c:v>
                </c:pt>
                <c:pt idx="4">
                  <c:v>7.1531742925347528</c:v>
                </c:pt>
                <c:pt idx="5">
                  <c:v>7.4512232213903671</c:v>
                </c:pt>
                <c:pt idx="6">
                  <c:v>7.7492721502459823</c:v>
                </c:pt>
                <c:pt idx="7">
                  <c:v>8.0473210791015966</c:v>
                </c:pt>
                <c:pt idx="8">
                  <c:v>8.3453700079572108</c:v>
                </c:pt>
                <c:pt idx="9">
                  <c:v>8.6434189368128251</c:v>
                </c:pt>
                <c:pt idx="10">
                  <c:v>8.9414678656684394</c:v>
                </c:pt>
                <c:pt idx="11">
                  <c:v>9.2395167945240555</c:v>
                </c:pt>
                <c:pt idx="12">
                  <c:v>9.5375657233796698</c:v>
                </c:pt>
                <c:pt idx="13">
                  <c:v>9.8356146522352841</c:v>
                </c:pt>
                <c:pt idx="14">
                  <c:v>10.1336635810909</c:v>
                </c:pt>
                <c:pt idx="15">
                  <c:v>10.431712509946514</c:v>
                </c:pt>
                <c:pt idx="16">
                  <c:v>10.729761438802127</c:v>
                </c:pt>
                <c:pt idx="17">
                  <c:v>11.027810367657743</c:v>
                </c:pt>
                <c:pt idx="18">
                  <c:v>11.325859296513359</c:v>
                </c:pt>
                <c:pt idx="19">
                  <c:v>11.623908225368972</c:v>
                </c:pt>
                <c:pt idx="20">
                  <c:v>11.921957154224588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D0B-A136-A59C6BBE1414}"/>
            </c:ext>
          </c:extLst>
        </c:ser>
        <c:ser>
          <c:idx val="0"/>
          <c:order val="1"/>
          <c:tx>
            <c:strRef>
              <c:f>'1550S30km'!$J$14:$J$15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'1550S30km'!$J$18:$J$38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0-4D0B-A136-A59C6BBE1414}"/>
            </c:ext>
          </c:extLst>
        </c:ser>
        <c:ser>
          <c:idx val="6"/>
          <c:order val="2"/>
          <c:tx>
            <c:strRef>
              <c:f>'1550S30km'!$L$14:$L$15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0-4D0B-A136-A59C6BBE1414}"/>
            </c:ext>
          </c:extLst>
        </c:ser>
        <c:ser>
          <c:idx val="3"/>
          <c:order val="3"/>
          <c:tx>
            <c:strRef>
              <c:f>'1550S30km'!$R$15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'1550S30km'!$R$18:$R$38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E0-4D0B-A136-A59C6BBE1414}"/>
            </c:ext>
          </c:extLst>
        </c:ser>
        <c:ser>
          <c:idx val="5"/>
          <c:order val="4"/>
          <c:tx>
            <c:strRef>
              <c:f>'1550S30km'!$N$14:$N$15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E0-4D0B-A136-A59C6BBE1414}"/>
            </c:ext>
          </c:extLst>
        </c:ser>
        <c:ser>
          <c:idx val="2"/>
          <c:order val="5"/>
          <c:tx>
            <c:strRef>
              <c:f>'1550S30km'!$Q$15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E0-4D0B-A136-A59C6BBE1414}"/>
            </c:ext>
          </c:extLst>
        </c:ser>
        <c:ser>
          <c:idx val="4"/>
          <c:order val="6"/>
          <c:tx>
            <c:strRef>
              <c:f>'1550S30km'!$S$14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'1550S30km'!$S$18:$S$38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E0-4D0B-A136-A59C6BBE1414}"/>
            </c:ext>
          </c:extLst>
        </c:ser>
        <c:ser>
          <c:idx val="8"/>
          <c:order val="7"/>
          <c:tx>
            <c:strRef>
              <c:f>'1550S30km'!$T$14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'1550S30km'!$T$18:$T$38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E0-4D0B-A136-A59C6BBE1414}"/>
            </c:ext>
          </c:extLst>
        </c:ser>
        <c:ser>
          <c:idx val="7"/>
          <c:order val="8"/>
          <c:tx>
            <c:strRef>
              <c:f>'1550S30km'!$AL$15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E0-4D0B-A136-A59C6BBE1414}"/>
            </c:ext>
          </c:extLst>
        </c:ser>
        <c:ser>
          <c:idx val="9"/>
          <c:order val="9"/>
          <c:tx>
            <c:strRef>
              <c:f>'1550S30km'!$AN$14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'1550S30km'!$AM$18:$AM$38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xVal>
          <c:yVal>
            <c:numRef>
              <c:f>'1550S30km'!$AN$18:$AN$38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E0-4D0B-A136-A59C6BBE1414}"/>
            </c:ext>
          </c:extLst>
        </c:ser>
        <c:ser>
          <c:idx val="10"/>
          <c:order val="10"/>
          <c:tx>
            <c:strRef>
              <c:f>'1550S30km'!$M$14:$M$15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'1550S30km'!$A$18:$A$38</c:f>
              <c:numCache>
                <c:formatCode>0.00#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'1550S30km'!$M$18:$M$38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E0-4D0B-A136-A59C6BBE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30191"/>
        <c:axId val="1"/>
      </c:scatterChart>
      <c:valAx>
        <c:axId val="823030191"/>
        <c:scaling>
          <c:orientation val="minMax"/>
          <c:max val="40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3019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3-438C-BD54-1176C8DDCF85}"/>
            </c:ext>
          </c:extLst>
        </c:ser>
        <c:ser>
          <c:idx val="1"/>
          <c:order val="1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3-438C-BD54-1176C8DDCF85}"/>
            </c:ext>
          </c:extLst>
        </c:ser>
        <c:ser>
          <c:idx val="2"/>
          <c:order val="2"/>
          <c:tx>
            <c:strRef>
              <c:f>'1550S30km'!$AD$40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'1550S30km'!$AD$41:$AD$69</c:f>
              <c:numCache>
                <c:formatCode>0%</c:formatCode>
                <c:ptCount val="29"/>
                <c:pt idx="0">
                  <c:v>0.2207153992351556</c:v>
                </c:pt>
                <c:pt idx="1">
                  <c:v>0.26343949121253396</c:v>
                </c:pt>
                <c:pt idx="2">
                  <c:v>0.31002638184641534</c:v>
                </c:pt>
                <c:pt idx="3">
                  <c:v>0.35988220024393131</c:v>
                </c:pt>
                <c:pt idx="4">
                  <c:v>0.41224576648947142</c:v>
                </c:pt>
                <c:pt idx="5">
                  <c:v>0.46622215552105661</c:v>
                </c:pt>
                <c:pt idx="6">
                  <c:v>0.5208280697031662</c:v>
                </c:pt>
                <c:pt idx="7">
                  <c:v>0.5750452318346585</c:v>
                </c:pt>
                <c:pt idx="8">
                  <c:v>0.62787699754610715</c:v>
                </c:pt>
                <c:pt idx="9">
                  <c:v>0.67840297377278835</c:v>
                </c:pt>
                <c:pt idx="10">
                  <c:v>0.72582668569970055</c:v>
                </c:pt>
                <c:pt idx="11">
                  <c:v>0.76951221635918376</c:v>
                </c:pt>
                <c:pt idx="12">
                  <c:v>0.80900710799113373</c:v>
                </c:pt>
                <c:pt idx="13">
                  <c:v>0.8440504465399481</c:v>
                </c:pt>
                <c:pt idx="14">
                  <c:v>0.8745667030039358</c:v>
                </c:pt>
                <c:pt idx="15">
                  <c:v>0.90064734445394856</c:v>
                </c:pt>
                <c:pt idx="16">
                  <c:v>0.92252327359785102</c:v>
                </c:pt>
                <c:pt idx="17">
                  <c:v>0.94053170849543766</c:v>
                </c:pt>
                <c:pt idx="18">
                  <c:v>0.95508116097649287</c:v>
                </c:pt>
                <c:pt idx="19">
                  <c:v>0.96661777980485397</c:v>
                </c:pt>
                <c:pt idx="20">
                  <c:v>0.97559561532277206</c:v>
                </c:pt>
                <c:pt idx="21">
                  <c:v>0.98245248581268552</c:v>
                </c:pt>
                <c:pt idx="22">
                  <c:v>0.98759222929080659</c:v>
                </c:pt>
                <c:pt idx="23">
                  <c:v>0.99137332899759545</c:v>
                </c:pt>
                <c:pt idx="24">
                  <c:v>0.99410328719141239</c:v>
                </c:pt>
                <c:pt idx="25">
                  <c:v>0.99603772617735653</c:v>
                </c:pt>
                <c:pt idx="26">
                  <c:v>0.99738301409319163</c:v>
                </c:pt>
                <c:pt idx="27">
                  <c:v>0.99830121264300398</c:v>
                </c:pt>
                <c:pt idx="28">
                  <c:v>0.99891627494783553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3-438C-BD54-1176C8DDCF85}"/>
            </c:ext>
          </c:extLst>
        </c:ser>
        <c:ser>
          <c:idx val="3"/>
          <c:order val="3"/>
          <c:tx>
            <c:strRef>
              <c:f>'1550S30km'!$AE$40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'1550S30km'!$AE$41:$AE$69</c:f>
              <c:numCache>
                <c:formatCode>0%</c:formatCode>
                <c:ptCount val="29"/>
                <c:pt idx="0">
                  <c:v>0.99958152595991412</c:v>
                </c:pt>
                <c:pt idx="1">
                  <c:v>0.99932062989239667</c:v>
                </c:pt>
                <c:pt idx="2">
                  <c:v>0.99891627494783553</c:v>
                </c:pt>
                <c:pt idx="3">
                  <c:v>0.99830121264300398</c:v>
                </c:pt>
                <c:pt idx="4">
                  <c:v>0.99738301409319163</c:v>
                </c:pt>
                <c:pt idx="5">
                  <c:v>0.99603772617735653</c:v>
                </c:pt>
                <c:pt idx="6">
                  <c:v>0.99410328719141228</c:v>
                </c:pt>
                <c:pt idx="7">
                  <c:v>0.99137332899759545</c:v>
                </c:pt>
                <c:pt idx="8">
                  <c:v>0.98759222929080659</c:v>
                </c:pt>
                <c:pt idx="9">
                  <c:v>0.98245248581268552</c:v>
                </c:pt>
                <c:pt idx="10">
                  <c:v>0.97559561532277206</c:v>
                </c:pt>
                <c:pt idx="11">
                  <c:v>0.96661777980485397</c:v>
                </c:pt>
                <c:pt idx="12">
                  <c:v>0.95508116097649287</c:v>
                </c:pt>
                <c:pt idx="13">
                  <c:v>0.94053170849543766</c:v>
                </c:pt>
                <c:pt idx="14">
                  <c:v>0.92252327359785102</c:v>
                </c:pt>
                <c:pt idx="15">
                  <c:v>0.90064734445394856</c:v>
                </c:pt>
                <c:pt idx="16">
                  <c:v>0.87456670300393591</c:v>
                </c:pt>
                <c:pt idx="17">
                  <c:v>0.84405044653994821</c:v>
                </c:pt>
                <c:pt idx="18">
                  <c:v>0.80900710799113384</c:v>
                </c:pt>
                <c:pt idx="19">
                  <c:v>0.76951221635918388</c:v>
                </c:pt>
                <c:pt idx="20">
                  <c:v>0.72582668569970044</c:v>
                </c:pt>
                <c:pt idx="21">
                  <c:v>0.67840297377278813</c:v>
                </c:pt>
                <c:pt idx="22">
                  <c:v>0.62787699754610704</c:v>
                </c:pt>
                <c:pt idx="23">
                  <c:v>0.57504523183465828</c:v>
                </c:pt>
                <c:pt idx="24">
                  <c:v>0.52082806970316586</c:v>
                </c:pt>
                <c:pt idx="25">
                  <c:v>0.46622215552105628</c:v>
                </c:pt>
                <c:pt idx="26">
                  <c:v>0.41224576648947125</c:v>
                </c:pt>
                <c:pt idx="27">
                  <c:v>0.35988220024393092</c:v>
                </c:pt>
                <c:pt idx="28">
                  <c:v>0.31002638184641518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3-438C-BD54-1176C8DDCF85}"/>
            </c:ext>
          </c:extLst>
        </c:ser>
        <c:ser>
          <c:idx val="4"/>
          <c:order val="4"/>
          <c:tx>
            <c:strRef>
              <c:f>'1550S30km'!$AF$40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3-438C-BD54-1176C8DDCF85}"/>
            </c:ext>
          </c:extLst>
        </c:ser>
        <c:ser>
          <c:idx val="5"/>
          <c:order val="5"/>
          <c:tx>
            <c:strRef>
              <c:f>'1550S30km'!$AG$40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'1550S30km'!$AG$41:$AG$69</c:f>
              <c:numCache>
                <c:formatCode>0%</c:formatCode>
                <c:ptCount val="29"/>
                <c:pt idx="0">
                  <c:v>0.7792846007648444</c:v>
                </c:pt>
                <c:pt idx="1">
                  <c:v>0.73656050878746604</c:v>
                </c:pt>
                <c:pt idx="2">
                  <c:v>0.68997361815358471</c:v>
                </c:pt>
                <c:pt idx="3">
                  <c:v>0.64011779975606875</c:v>
                </c:pt>
                <c:pt idx="4">
                  <c:v>0.58775423351052858</c:v>
                </c:pt>
                <c:pt idx="5">
                  <c:v>0.53377784447894339</c:v>
                </c:pt>
                <c:pt idx="6">
                  <c:v>0.4791719302968338</c:v>
                </c:pt>
                <c:pt idx="7">
                  <c:v>0.4249547681653415</c:v>
                </c:pt>
                <c:pt idx="8">
                  <c:v>0.37212300245389285</c:v>
                </c:pt>
                <c:pt idx="9">
                  <c:v>0.32159702622721165</c:v>
                </c:pt>
                <c:pt idx="10">
                  <c:v>0.27417331430029945</c:v>
                </c:pt>
                <c:pt idx="11">
                  <c:v>0.23048778364081624</c:v>
                </c:pt>
                <c:pt idx="12">
                  <c:v>0.19099289200886627</c:v>
                </c:pt>
                <c:pt idx="13">
                  <c:v>0.1559495534600519</c:v>
                </c:pt>
                <c:pt idx="14">
                  <c:v>0.1254332969960642</c:v>
                </c:pt>
                <c:pt idx="15">
                  <c:v>9.9352655546051438E-2</c:v>
                </c:pt>
                <c:pt idx="16">
                  <c:v>7.7476726402148977E-2</c:v>
                </c:pt>
                <c:pt idx="17">
                  <c:v>5.9468291504562343E-2</c:v>
                </c:pt>
                <c:pt idx="18">
                  <c:v>4.4918839023507129E-2</c:v>
                </c:pt>
                <c:pt idx="19">
                  <c:v>3.3382220195146028E-2</c:v>
                </c:pt>
                <c:pt idx="20">
                  <c:v>2.4404384677227942E-2</c:v>
                </c:pt>
                <c:pt idx="21">
                  <c:v>1.7547514187314484E-2</c:v>
                </c:pt>
                <c:pt idx="22">
                  <c:v>1.2407770709193411E-2</c:v>
                </c:pt>
                <c:pt idx="23">
                  <c:v>8.6266710024045512E-3</c:v>
                </c:pt>
                <c:pt idx="24">
                  <c:v>5.8967128085876119E-3</c:v>
                </c:pt>
                <c:pt idx="25">
                  <c:v>3.9622738226434695E-3</c:v>
                </c:pt>
                <c:pt idx="26">
                  <c:v>2.6169859068083667E-3</c:v>
                </c:pt>
                <c:pt idx="27">
                  <c:v>1.6987873569960232E-3</c:v>
                </c:pt>
                <c:pt idx="28">
                  <c:v>1.0837250521644748E-3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3-438C-BD54-1176C8DDCF85}"/>
            </c:ext>
          </c:extLst>
        </c:ser>
        <c:ser>
          <c:idx val="6"/>
          <c:order val="6"/>
          <c:tx>
            <c:strRef>
              <c:f>'1550S30km'!$AH$40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'1550S30km'!$AH$41:$AH$69</c:f>
              <c:numCache>
                <c:formatCode>0%</c:formatCode>
                <c:ptCount val="29"/>
                <c:pt idx="0">
                  <c:v>4.1847404008588107E-4</c:v>
                </c:pt>
                <c:pt idx="1">
                  <c:v>6.7937010760332761E-4</c:v>
                </c:pt>
                <c:pt idx="2">
                  <c:v>1.0837250521644748E-3</c:v>
                </c:pt>
                <c:pt idx="3">
                  <c:v>1.6987873569960232E-3</c:v>
                </c:pt>
                <c:pt idx="4">
                  <c:v>2.6169859068083667E-3</c:v>
                </c:pt>
                <c:pt idx="5">
                  <c:v>3.9622738226434695E-3</c:v>
                </c:pt>
                <c:pt idx="6">
                  <c:v>5.896712808587723E-3</c:v>
                </c:pt>
                <c:pt idx="7">
                  <c:v>8.6266710024045512E-3</c:v>
                </c:pt>
                <c:pt idx="8">
                  <c:v>1.2407770709193411E-2</c:v>
                </c:pt>
                <c:pt idx="9">
                  <c:v>1.7547514187314484E-2</c:v>
                </c:pt>
                <c:pt idx="10">
                  <c:v>2.4404384677227942E-2</c:v>
                </c:pt>
                <c:pt idx="11">
                  <c:v>3.3382220195146028E-2</c:v>
                </c:pt>
                <c:pt idx="12">
                  <c:v>4.4918839023507129E-2</c:v>
                </c:pt>
                <c:pt idx="13">
                  <c:v>5.9468291504562343E-2</c:v>
                </c:pt>
                <c:pt idx="14">
                  <c:v>7.7476726402148977E-2</c:v>
                </c:pt>
                <c:pt idx="15">
                  <c:v>9.9352655546051438E-2</c:v>
                </c:pt>
                <c:pt idx="16">
                  <c:v>0.12543329699606409</c:v>
                </c:pt>
                <c:pt idx="17">
                  <c:v>0.15594955346005179</c:v>
                </c:pt>
                <c:pt idx="18">
                  <c:v>0.19099289200886616</c:v>
                </c:pt>
                <c:pt idx="19">
                  <c:v>0.23048778364081612</c:v>
                </c:pt>
                <c:pt idx="20">
                  <c:v>0.27417331430029956</c:v>
                </c:pt>
                <c:pt idx="21">
                  <c:v>0.32159702622721187</c:v>
                </c:pt>
                <c:pt idx="22">
                  <c:v>0.37212300245389296</c:v>
                </c:pt>
                <c:pt idx="23">
                  <c:v>0.42495476816534172</c:v>
                </c:pt>
                <c:pt idx="24">
                  <c:v>0.47917193029683414</c:v>
                </c:pt>
                <c:pt idx="25">
                  <c:v>0.53377784447894372</c:v>
                </c:pt>
                <c:pt idx="26">
                  <c:v>0.5877542335105288</c:v>
                </c:pt>
                <c:pt idx="27">
                  <c:v>0.64011779975606908</c:v>
                </c:pt>
                <c:pt idx="28">
                  <c:v>0.68997361815358482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3-438C-BD54-1176C8DDCF85}"/>
            </c:ext>
          </c:extLst>
        </c:ser>
        <c:ser>
          <c:idx val="7"/>
          <c:order val="7"/>
          <c:tx>
            <c:strRef>
              <c:f>'1550S30km'!$AI$40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93-438C-BD54-1176C8DDCF85}"/>
            </c:ext>
          </c:extLst>
        </c:ser>
        <c:ser>
          <c:idx val="8"/>
          <c:order val="8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3-438C-BD54-1176C8DDCF85}"/>
            </c:ext>
          </c:extLst>
        </c:ser>
        <c:ser>
          <c:idx val="9"/>
          <c:order val="9"/>
          <c:tx>
            <c:strRef>
              <c:f>'1550S30km'!$AO$40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'1550S30km'!$AN$41:$AN$47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'1550S30km'!$AO$41:$AO$47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93-438C-BD54-1176C8DDCF85}"/>
            </c:ext>
          </c:extLst>
        </c:ser>
        <c:ser>
          <c:idx val="10"/>
          <c:order val="10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'1550S30km'!$AF$41:$AF$69</c:f>
              <c:numCache>
                <c:formatCode>0%</c:formatCode>
                <c:ptCount val="29"/>
                <c:pt idx="0">
                  <c:v>0.22029692519506971</c:v>
                </c:pt>
                <c:pt idx="1">
                  <c:v>0.26276012110493063</c:v>
                </c:pt>
                <c:pt idx="2">
                  <c:v>0.30894265679425081</c:v>
                </c:pt>
                <c:pt idx="3">
                  <c:v>0.35818341288693523</c:v>
                </c:pt>
                <c:pt idx="4">
                  <c:v>0.40962878058266305</c:v>
                </c:pt>
                <c:pt idx="5">
                  <c:v>0.46225988169841314</c:v>
                </c:pt>
                <c:pt idx="6">
                  <c:v>0.51493135689457858</c:v>
                </c:pt>
                <c:pt idx="7">
                  <c:v>0.56641856083225406</c:v>
                </c:pt>
                <c:pt idx="8">
                  <c:v>0.61546922683691374</c:v>
                </c:pt>
                <c:pt idx="9">
                  <c:v>0.66085545958547387</c:v>
                </c:pt>
                <c:pt idx="10">
                  <c:v>0.70142230102247272</c:v>
                </c:pt>
                <c:pt idx="11">
                  <c:v>0.73612999616403774</c:v>
                </c:pt>
                <c:pt idx="12">
                  <c:v>0.76408826896762649</c:v>
                </c:pt>
                <c:pt idx="13">
                  <c:v>0.78458215503538575</c:v>
                </c:pt>
                <c:pt idx="14">
                  <c:v>0.79708997660178671</c:v>
                </c:pt>
                <c:pt idx="15">
                  <c:v>0.80129468890789712</c:v>
                </c:pt>
                <c:pt idx="16">
                  <c:v>0.79708997660178693</c:v>
                </c:pt>
                <c:pt idx="17">
                  <c:v>0.78458215503538575</c:v>
                </c:pt>
                <c:pt idx="18">
                  <c:v>0.76408826896762672</c:v>
                </c:pt>
                <c:pt idx="19">
                  <c:v>0.73612999616403796</c:v>
                </c:pt>
                <c:pt idx="20">
                  <c:v>0.70142230102247249</c:v>
                </c:pt>
                <c:pt idx="21">
                  <c:v>0.66085545958547365</c:v>
                </c:pt>
                <c:pt idx="22">
                  <c:v>0.61546922683691374</c:v>
                </c:pt>
                <c:pt idx="23">
                  <c:v>0.56641856083225361</c:v>
                </c:pt>
                <c:pt idx="24">
                  <c:v>0.51493135689457814</c:v>
                </c:pt>
                <c:pt idx="25">
                  <c:v>0.46225988169841292</c:v>
                </c:pt>
                <c:pt idx="26">
                  <c:v>0.40962878058266283</c:v>
                </c:pt>
                <c:pt idx="27">
                  <c:v>0.35818341288693478</c:v>
                </c:pt>
                <c:pt idx="28">
                  <c:v>0.30894265679425059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93-438C-BD54-1176C8DDCF85}"/>
            </c:ext>
          </c:extLst>
        </c:ser>
        <c:ser>
          <c:idx val="11"/>
          <c:order val="11"/>
          <c:tx>
            <c:strRef>
              <c:f>'1550S30km'!$AL$40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93-438C-BD54-1176C8DDCF85}"/>
            </c:ext>
          </c:extLst>
        </c:ser>
        <c:ser>
          <c:idx val="12"/>
          <c:order val="12"/>
          <c:tx>
            <c:strRef>
              <c:f>'1550S30km'!$AM$40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'1550S30km'!$AM$41:$AM$69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'1550S30km'!$AI$41:$AI$69</c:f>
              <c:numCache>
                <c:formatCode>0%</c:formatCode>
                <c:ptCount val="29"/>
                <c:pt idx="0">
                  <c:v>0.77970307480493029</c:v>
                </c:pt>
                <c:pt idx="1">
                  <c:v>0.73723987889506937</c:v>
                </c:pt>
                <c:pt idx="2">
                  <c:v>0.69105734320574919</c:v>
                </c:pt>
                <c:pt idx="3">
                  <c:v>0.64181658711306477</c:v>
                </c:pt>
                <c:pt idx="4">
                  <c:v>0.59037121941733695</c:v>
                </c:pt>
                <c:pt idx="5">
                  <c:v>0.53774011830158686</c:v>
                </c:pt>
                <c:pt idx="6">
                  <c:v>0.48506864310542142</c:v>
                </c:pt>
                <c:pt idx="7">
                  <c:v>0.43358143916774594</c:v>
                </c:pt>
                <c:pt idx="8">
                  <c:v>0.38453077316308626</c:v>
                </c:pt>
                <c:pt idx="9">
                  <c:v>0.33914454041452613</c:v>
                </c:pt>
                <c:pt idx="10">
                  <c:v>0.29857769897752728</c:v>
                </c:pt>
                <c:pt idx="11">
                  <c:v>0.26387000383596226</c:v>
                </c:pt>
                <c:pt idx="12">
                  <c:v>0.23591173103237351</c:v>
                </c:pt>
                <c:pt idx="13">
                  <c:v>0.21541784496461425</c:v>
                </c:pt>
                <c:pt idx="14">
                  <c:v>0.20291002339821329</c:v>
                </c:pt>
                <c:pt idx="15">
                  <c:v>0.19870531109210288</c:v>
                </c:pt>
                <c:pt idx="16">
                  <c:v>0.20291002339821307</c:v>
                </c:pt>
                <c:pt idx="17">
                  <c:v>0.21541784496461425</c:v>
                </c:pt>
                <c:pt idx="18">
                  <c:v>0.23591173103237328</c:v>
                </c:pt>
                <c:pt idx="19">
                  <c:v>0.26387000383596204</c:v>
                </c:pt>
                <c:pt idx="20">
                  <c:v>0.29857769897752751</c:v>
                </c:pt>
                <c:pt idx="21">
                  <c:v>0.33914454041452635</c:v>
                </c:pt>
                <c:pt idx="22">
                  <c:v>0.38453077316308626</c:v>
                </c:pt>
                <c:pt idx="23">
                  <c:v>0.43358143916774639</c:v>
                </c:pt>
                <c:pt idx="24">
                  <c:v>0.48506864310542186</c:v>
                </c:pt>
                <c:pt idx="25">
                  <c:v>0.53774011830158708</c:v>
                </c:pt>
                <c:pt idx="26">
                  <c:v>0.59037121941733717</c:v>
                </c:pt>
                <c:pt idx="27">
                  <c:v>0.64181658711306522</c:v>
                </c:pt>
                <c:pt idx="28">
                  <c:v>0.69105734320574941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93-438C-BD54-1176C8DDCF85}"/>
            </c:ext>
          </c:extLst>
        </c:ser>
        <c:ser>
          <c:idx val="13"/>
          <c:order val="13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'1550S30km'!$AT$55:$AT$69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93-438C-BD54-1176C8DDCF85}"/>
            </c:ext>
          </c:extLst>
        </c:ser>
        <c:ser>
          <c:idx val="14"/>
          <c:order val="14"/>
          <c:tx>
            <c:strRef>
              <c:f>'1550S30km'!$AT$39:$AT$40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'1550S30km'!$AT$43:$AT$57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93-438C-BD54-1176C8DDCF85}"/>
            </c:ext>
          </c:extLst>
        </c:ser>
        <c:ser>
          <c:idx val="15"/>
          <c:order val="15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'1550S30km'!$AL$55:$AL$69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'1550S30km'!$AW$55:$AW$69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A93-438C-BD54-1176C8DDCF85}"/>
            </c:ext>
          </c:extLst>
        </c:ser>
        <c:ser>
          <c:idx val="16"/>
          <c:order val="16"/>
          <c:tx>
            <c:strRef>
              <c:f>'1550S30km'!$AW$39:$AW$40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'1550S30km'!$AM$43:$AM$57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'1550S30km'!$AW$43:$AW$57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93-438C-BD54-1176C8DDCF85}"/>
            </c:ext>
          </c:extLst>
        </c:ser>
        <c:ser>
          <c:idx val="17"/>
          <c:order val="17"/>
          <c:tx>
            <c:strRef>
              <c:f>'1550S30km'!$AI$8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'1550S30km'!$AJ$8:$AJ$9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'1550S30km'!$AK$8:$AK$9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A93-438C-BD54-1176C8DD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16463"/>
        <c:axId val="1"/>
      </c:scatterChart>
      <c:valAx>
        <c:axId val="823016463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1646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600419463563582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7174294448222"/>
          <c:y val="0.12292746827575649"/>
          <c:w val="0.60109250953554583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'1550S40km'!$B$15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'1550S40km'!$B$18:$B$38</c:f>
              <c:numCache>
                <c:formatCode>0.00</c:formatCode>
                <c:ptCount val="21"/>
                <c:pt idx="0">
                  <c:v>7.4505510100878549</c:v>
                </c:pt>
                <c:pt idx="1">
                  <c:v>7.6989027104241163</c:v>
                </c:pt>
                <c:pt idx="2">
                  <c:v>7.9472544107603786</c:v>
                </c:pt>
                <c:pt idx="3">
                  <c:v>8.1956061110966409</c:v>
                </c:pt>
                <c:pt idx="4">
                  <c:v>8.4439578114329024</c:v>
                </c:pt>
                <c:pt idx="5">
                  <c:v>8.6923095117691638</c:v>
                </c:pt>
                <c:pt idx="6">
                  <c:v>8.940661212105427</c:v>
                </c:pt>
                <c:pt idx="7">
                  <c:v>9.1890129124416884</c:v>
                </c:pt>
                <c:pt idx="8">
                  <c:v>9.4373646127779498</c:v>
                </c:pt>
                <c:pt idx="9">
                  <c:v>9.6857163131142112</c:v>
                </c:pt>
                <c:pt idx="10">
                  <c:v>9.9340680134504726</c:v>
                </c:pt>
                <c:pt idx="11">
                  <c:v>10.182419713786734</c:v>
                </c:pt>
                <c:pt idx="12">
                  <c:v>10.430771414122995</c:v>
                </c:pt>
                <c:pt idx="13">
                  <c:v>10.679123114459257</c:v>
                </c:pt>
                <c:pt idx="14">
                  <c:v>10.92747481479552</c:v>
                </c:pt>
                <c:pt idx="15">
                  <c:v>11.175826515131783</c:v>
                </c:pt>
                <c:pt idx="16">
                  <c:v>11.424178215468045</c:v>
                </c:pt>
                <c:pt idx="17">
                  <c:v>11.672529915804306</c:v>
                </c:pt>
                <c:pt idx="18">
                  <c:v>11.920881616140568</c:v>
                </c:pt>
                <c:pt idx="19">
                  <c:v>12.169233316476831</c:v>
                </c:pt>
                <c:pt idx="20">
                  <c:v>12.417585016813092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F-4F1C-8924-F55B4CF70E9C}"/>
            </c:ext>
          </c:extLst>
        </c:ser>
        <c:ser>
          <c:idx val="0"/>
          <c:order val="1"/>
          <c:tx>
            <c:strRef>
              <c:f>'1550S40km'!$J$14:$J$15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'1550S40km'!$J$18:$J$38</c:f>
              <c:numCache>
                <c:formatCode>0.00</c:formatCode>
                <c:ptCount val="21"/>
                <c:pt idx="0">
                  <c:v>2.6043995975956329</c:v>
                </c:pt>
                <c:pt idx="1">
                  <c:v>2.6349217621457517</c:v>
                </c:pt>
                <c:pt idx="2">
                  <c:v>2.6664660932930544</c:v>
                </c:pt>
                <c:pt idx="3">
                  <c:v>2.6990349662653039</c:v>
                </c:pt>
                <c:pt idx="4">
                  <c:v>2.732630912192108</c:v>
                </c:pt>
                <c:pt idx="5">
                  <c:v>2.7672566314511777</c:v>
                </c:pt>
                <c:pt idx="6">
                  <c:v>2.8029150080287519</c:v>
                </c:pt>
                <c:pt idx="7">
                  <c:v>2.8396091249130189</c:v>
                </c:pt>
                <c:pt idx="8">
                  <c:v>2.8773422805393594</c:v>
                </c:pt>
                <c:pt idx="9">
                  <c:v>2.9161180063069283</c:v>
                </c:pt>
                <c:pt idx="10">
                  <c:v>2.9559400851873106</c:v>
                </c:pt>
                <c:pt idx="11">
                  <c:v>2.9968125714477063</c:v>
                </c:pt>
                <c:pt idx="12">
                  <c:v>3.0387398115136315</c:v>
                </c:pt>
                <c:pt idx="13">
                  <c:v>3.0817264659991355</c:v>
                </c:pt>
                <c:pt idx="14">
                  <c:v>3.125777532936302</c:v>
                </c:pt>
                <c:pt idx="15">
                  <c:v>3.1708983722403463</c:v>
                </c:pt>
                <c:pt idx="16">
                  <c:v>3.217094731451752</c:v>
                </c:pt>
                <c:pt idx="17">
                  <c:v>3.2643727728028886</c:v>
                </c:pt>
                <c:pt idx="18">
                  <c:v>3.3127391016634427</c:v>
                </c:pt>
                <c:pt idx="19">
                  <c:v>3.3622007964264347</c:v>
                </c:pt>
                <c:pt idx="20">
                  <c:v>3.4127654399053582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F-4F1C-8924-F55B4CF70E9C}"/>
            </c:ext>
          </c:extLst>
        </c:ser>
        <c:ser>
          <c:idx val="6"/>
          <c:order val="2"/>
          <c:tx>
            <c:strRef>
              <c:f>'1550S40km'!$L$14:$L$15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F-4F1C-8924-F55B4CF70E9C}"/>
            </c:ext>
          </c:extLst>
        </c:ser>
        <c:ser>
          <c:idx val="3"/>
          <c:order val="3"/>
          <c:tx>
            <c:strRef>
              <c:f>'1550S40km'!$R$15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'1550S40km'!$R$18:$R$38</c:f>
              <c:numCache>
                <c:formatCode>0.00</c:formatCode>
                <c:ptCount val="21"/>
                <c:pt idx="0">
                  <c:v>0.23909838431720504</c:v>
                </c:pt>
                <c:pt idx="1">
                  <c:v>0.23905065318601793</c:v>
                </c:pt>
                <c:pt idx="2">
                  <c:v>0.23912071357008405</c:v>
                </c:pt>
                <c:pt idx="3">
                  <c:v>0.23931143311253822</c:v>
                </c:pt>
                <c:pt idx="4">
                  <c:v>0.23962573913265561</c:v>
                </c:pt>
                <c:pt idx="5">
                  <c:v>0.24006663690125901</c:v>
                </c:pt>
                <c:pt idx="6">
                  <c:v>0.24063722908641239</c:v>
                </c:pt>
                <c:pt idx="7">
                  <c:v>0.24134073625203983</c:v>
                </c:pt>
                <c:pt idx="8">
                  <c:v>0.24218051833808801</c:v>
                </c:pt>
                <c:pt idx="9">
                  <c:v>0.24316009709331404</c:v>
                </c:pt>
                <c:pt idx="10">
                  <c:v>0.24428317947096695</c:v>
                </c:pt>
                <c:pt idx="11">
                  <c:v>0.24555368203402234</c:v>
                </c:pt>
                <c:pt idx="12">
                  <c:v>0.24697575645073649</c:v>
                </c:pt>
                <c:pt idx="13">
                  <c:v>0.24855381619364891</c:v>
                </c:pt>
                <c:pt idx="14">
                  <c:v>0.25029256458641824</c:v>
                </c:pt>
                <c:pt idx="15">
                  <c:v>0.25219702437369462</c:v>
                </c:pt>
                <c:pt idx="16">
                  <c:v>0.25427256902021195</c:v>
                </c:pt>
                <c:pt idx="17">
                  <c:v>0.25652495597727598</c:v>
                </c:pt>
                <c:pt idx="18">
                  <c:v>0.25896036218841922</c:v>
                </c:pt>
                <c:pt idx="19">
                  <c:v>0.26158542214208658</c:v>
                </c:pt>
                <c:pt idx="20">
                  <c:v>0.26440726881869725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F-4F1C-8924-F55B4CF70E9C}"/>
            </c:ext>
          </c:extLst>
        </c:ser>
        <c:ser>
          <c:idx val="5"/>
          <c:order val="4"/>
          <c:tx>
            <c:strRef>
              <c:f>'1550S40km'!$N$14:$N$15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'1550S40km'!$N$18:$N$38</c:f>
              <c:numCache>
                <c:formatCode>General</c:formatCode>
                <c:ptCount val="21"/>
                <c:pt idx="0">
                  <c:v>6.4923150632390361E-2</c:v>
                </c:pt>
                <c:pt idx="1">
                  <c:v>6.1690807558538507E-2</c:v>
                </c:pt>
                <c:pt idx="2">
                  <c:v>5.8633503909669066E-2</c:v>
                </c:pt>
                <c:pt idx="3">
                  <c:v>5.5741110914338046E-2</c:v>
                </c:pt>
                <c:pt idx="4">
                  <c:v>5.3004125490715905E-2</c:v>
                </c:pt>
                <c:pt idx="5">
                  <c:v>5.0413628893957028E-2</c:v>
                </c:pt>
                <c:pt idx="6">
                  <c:v>4.7961248319198131E-2</c:v>
                </c:pt>
                <c:pt idx="7">
                  <c:v>4.5639121228220364E-2</c:v>
                </c:pt>
                <c:pt idx="8">
                  <c:v>4.3439862188087403E-2</c:v>
                </c:pt>
                <c:pt idx="9">
                  <c:v>4.1356532028407098E-2</c:v>
                </c:pt>
                <c:pt idx="10">
                  <c:v>3.9382609140374988E-2</c:v>
                </c:pt>
                <c:pt idx="11">
                  <c:v>3.7511962755728746E-2</c:v>
                </c:pt>
                <c:pt idx="12">
                  <c:v>3.5738828057283116E-2</c:v>
                </c:pt>
                <c:pt idx="13">
                  <c:v>3.405778298498352E-2</c:v>
                </c:pt>
                <c:pt idx="14">
                  <c:v>3.2463726612579145E-2</c:v>
                </c:pt>
                <c:pt idx="15">
                  <c:v>3.0951858980128106E-2</c:v>
                </c:pt>
                <c:pt idx="16">
                  <c:v>2.9517662276776567E-2</c:v>
                </c:pt>
                <c:pt idx="17">
                  <c:v>2.8156883276637817E-2</c:v>
                </c:pt>
                <c:pt idx="18">
                  <c:v>2.6865516938260687E-2</c:v>
                </c:pt>
                <c:pt idx="19">
                  <c:v>2.5639791085157602E-2</c:v>
                </c:pt>
                <c:pt idx="20">
                  <c:v>2.4476152091245817E-2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F-4F1C-8924-F55B4CF70E9C}"/>
            </c:ext>
          </c:extLst>
        </c:ser>
        <c:ser>
          <c:idx val="2"/>
          <c:order val="5"/>
          <c:tx>
            <c:strRef>
              <c:f>'1550S40km'!$Q$15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'1550S40km'!$Q$18:$Q$38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F-4F1C-8924-F55B4CF70E9C}"/>
            </c:ext>
          </c:extLst>
        </c:ser>
        <c:ser>
          <c:idx val="4"/>
          <c:order val="6"/>
          <c:tx>
            <c:strRef>
              <c:f>'1550S40km'!$S$14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'1550S40km'!$S$18:$S$38</c:f>
              <c:numCache>
                <c:formatCode>0.00</c:formatCode>
                <c:ptCount val="21"/>
                <c:pt idx="0">
                  <c:v>0.20000430738260055</c:v>
                </c:pt>
                <c:pt idx="1">
                  <c:v>0.20367938846649669</c:v>
                </c:pt>
                <c:pt idx="2">
                  <c:v>0.20758850869122733</c:v>
                </c:pt>
                <c:pt idx="3">
                  <c:v>0.21174004071817826</c:v>
                </c:pt>
                <c:pt idx="4">
                  <c:v>0.2161431149473641</c:v>
                </c:pt>
                <c:pt idx="5">
                  <c:v>0.22080766597085255</c:v>
                </c:pt>
                <c:pt idx="6">
                  <c:v>0.22574448505352951</c:v>
                </c:pt>
                <c:pt idx="7">
                  <c:v>0.23096527918389281</c:v>
                </c:pt>
                <c:pt idx="8">
                  <c:v>0.23648273733296526</c:v>
                </c:pt>
                <c:pt idx="9">
                  <c:v>0.24231060466694143</c:v>
                </c:pt>
                <c:pt idx="10">
                  <c:v>0.24846376558119554</c:v>
                </c:pt>
                <c:pt idx="11">
                  <c:v>0.25495833656289818</c:v>
                </c:pt>
                <c:pt idx="12">
                  <c:v>0.26181177005032691</c:v>
                </c:pt>
                <c:pt idx="13">
                  <c:v>0.26904297064307259</c:v>
                </c:pt>
                <c:pt idx="14">
                  <c:v>0.27667242523429092</c:v>
                </c:pt>
                <c:pt idx="15">
                  <c:v>0.28472234888971304</c:v>
                </c:pt>
                <c:pt idx="16">
                  <c:v>0.29321684859627822</c:v>
                </c:pt>
                <c:pt idx="17">
                  <c:v>0.30218210735509443</c:v>
                </c:pt>
                <c:pt idx="18">
                  <c:v>0.31164659151045004</c:v>
                </c:pt>
                <c:pt idx="19">
                  <c:v>0.32164128470296305</c:v>
                </c:pt>
                <c:pt idx="20">
                  <c:v>0.33219995242804601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DF-4F1C-8924-F55B4CF70E9C}"/>
            </c:ext>
          </c:extLst>
        </c:ser>
        <c:ser>
          <c:idx val="8"/>
          <c:order val="7"/>
          <c:tx>
            <c:strRef>
              <c:f>'1550S40km'!$T$14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'1550S40km'!$T$18:$T$38</c:f>
              <c:numCache>
                <c:formatCode>0.0</c:formatCode>
                <c:ptCount val="21"/>
                <c:pt idx="0">
                  <c:v>10.558976450015685</c:v>
                </c:pt>
                <c:pt idx="1">
                  <c:v>10.838245321780921</c:v>
                </c:pt>
                <c:pt idx="2">
                  <c:v>11.119063230224414</c:v>
                </c:pt>
                <c:pt idx="3">
                  <c:v>11.401433662106999</c:v>
                </c:pt>
                <c:pt idx="4">
                  <c:v>11.685361703195746</c:v>
                </c:pt>
                <c:pt idx="5">
                  <c:v>11.970854074986409</c:v>
                </c:pt>
                <c:pt idx="6">
                  <c:v>12.257919182593319</c:v>
                </c:pt>
                <c:pt idx="7">
                  <c:v>12.546567174018861</c:v>
                </c:pt>
                <c:pt idx="8">
                  <c:v>12.83681001117645</c:v>
                </c:pt>
                <c:pt idx="9">
                  <c:v>13.128661553209804</c:v>
                </c:pt>
                <c:pt idx="10">
                  <c:v>13.422137652830321</c:v>
                </c:pt>
                <c:pt idx="11">
                  <c:v>13.717256266587091</c:v>
                </c:pt>
                <c:pt idx="12">
                  <c:v>14.014037580194973</c:v>
                </c:pt>
                <c:pt idx="13">
                  <c:v>14.312504150280098</c:v>
                </c:pt>
                <c:pt idx="14">
                  <c:v>14.612681064165113</c:v>
                </c:pt>
                <c:pt idx="15">
                  <c:v>14.914596119615666</c:v>
                </c:pt>
                <c:pt idx="16">
                  <c:v>15.218280026813064</c:v>
                </c:pt>
                <c:pt idx="17">
                  <c:v>15.523766635216203</c:v>
                </c:pt>
                <c:pt idx="18">
                  <c:v>15.831093188441141</c:v>
                </c:pt>
                <c:pt idx="19">
                  <c:v>16.140300610833474</c:v>
                </c:pt>
                <c:pt idx="20">
                  <c:v>16.451433830056438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DF-4F1C-8924-F55B4CF70E9C}"/>
            </c:ext>
          </c:extLst>
        </c:ser>
        <c:ser>
          <c:idx val="7"/>
          <c:order val="8"/>
          <c:tx>
            <c:strRef>
              <c:f>'1550S40km'!$AL$15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'1550S40km'!$AL$18:$AL$38</c:f>
              <c:numCache>
                <c:formatCode>General</c:formatCode>
                <c:ptCount val="21"/>
                <c:pt idx="0">
                  <c:v>14.01</c:v>
                </c:pt>
                <c:pt idx="1">
                  <c:v>14.01</c:v>
                </c:pt>
                <c:pt idx="2">
                  <c:v>14.01</c:v>
                </c:pt>
                <c:pt idx="3">
                  <c:v>14.01</c:v>
                </c:pt>
                <c:pt idx="4">
                  <c:v>14.01</c:v>
                </c:pt>
                <c:pt idx="5">
                  <c:v>14.01</c:v>
                </c:pt>
                <c:pt idx="6">
                  <c:v>14.01</c:v>
                </c:pt>
                <c:pt idx="7">
                  <c:v>14.01</c:v>
                </c:pt>
                <c:pt idx="8">
                  <c:v>14.01</c:v>
                </c:pt>
                <c:pt idx="9">
                  <c:v>14.01</c:v>
                </c:pt>
                <c:pt idx="10">
                  <c:v>14.01</c:v>
                </c:pt>
                <c:pt idx="11">
                  <c:v>14.01</c:v>
                </c:pt>
                <c:pt idx="12">
                  <c:v>14.01</c:v>
                </c:pt>
                <c:pt idx="13">
                  <c:v>14.01</c:v>
                </c:pt>
                <c:pt idx="14">
                  <c:v>14.01</c:v>
                </c:pt>
                <c:pt idx="15">
                  <c:v>14.01</c:v>
                </c:pt>
                <c:pt idx="16">
                  <c:v>14.01</c:v>
                </c:pt>
                <c:pt idx="17">
                  <c:v>14.01</c:v>
                </c:pt>
                <c:pt idx="18">
                  <c:v>14.01</c:v>
                </c:pt>
                <c:pt idx="19">
                  <c:v>14.01</c:v>
                </c:pt>
                <c:pt idx="20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DF-4F1C-8924-F55B4CF70E9C}"/>
            </c:ext>
          </c:extLst>
        </c:ser>
        <c:ser>
          <c:idx val="9"/>
          <c:order val="9"/>
          <c:tx>
            <c:strRef>
              <c:f>'1550S40km'!$AN$14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'1550S40km'!$AM$18:$AM$38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</c:numCache>
            </c:numRef>
          </c:xVal>
          <c:yVal>
            <c:numRef>
              <c:f>'1550S40km'!$AN$18:$AN$38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DF-4F1C-8924-F55B4CF70E9C}"/>
            </c:ext>
          </c:extLst>
        </c:ser>
        <c:ser>
          <c:idx val="10"/>
          <c:order val="10"/>
          <c:tx>
            <c:strRef>
              <c:f>'1550S40km'!$M$14:$M$15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'1550S40km'!$A$18:$A$38</c:f>
              <c:numCache>
                <c:formatCode>0.00#</c:formatCod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numCache>
            </c:numRef>
          </c:xVal>
          <c:yVal>
            <c:numRef>
              <c:f>'1550S40km'!$M$18:$M$38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DF-4F1C-8924-F55B4CF7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17711"/>
        <c:axId val="1"/>
      </c:scatterChart>
      <c:valAx>
        <c:axId val="823017711"/>
        <c:scaling>
          <c:orientation val="minMax"/>
          <c:max val="5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1771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9873951286499"/>
          <c:y val="0.19269711243226692"/>
          <c:w val="0.2468772807020991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2-49D9-85B6-856E42D982EC}"/>
            </c:ext>
          </c:extLst>
        </c:ser>
        <c:ser>
          <c:idx val="1"/>
          <c:order val="1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2-49D9-85B6-856E42D982EC}"/>
            </c:ext>
          </c:extLst>
        </c:ser>
        <c:ser>
          <c:idx val="2"/>
          <c:order val="2"/>
          <c:tx>
            <c:strRef>
              <c:f>'850S62_160'!$AD$40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'850S62_160'!$AD$41:$AD$71</c:f>
              <c:numCache>
                <c:formatCode>0%</c:formatCode>
                <c:ptCount val="31"/>
                <c:pt idx="0">
                  <c:v>0.14892006232977684</c:v>
                </c:pt>
                <c:pt idx="1">
                  <c:v>0.19450985966591006</c:v>
                </c:pt>
                <c:pt idx="2">
                  <c:v>0.24770908054141066</c:v>
                </c:pt>
                <c:pt idx="3">
                  <c:v>0.30782083377625691</c:v>
                </c:pt>
                <c:pt idx="4">
                  <c:v>0.37359116748203003</c:v>
                </c:pt>
                <c:pt idx="5">
                  <c:v>0.44327262631003017</c:v>
                </c:pt>
                <c:pt idx="6">
                  <c:v>0.51475862169902353</c:v>
                </c:pt>
                <c:pt idx="7">
                  <c:v>0.58577217628531064</c:v>
                </c:pt>
                <c:pt idx="8">
                  <c:v>0.65408120067523068</c:v>
                </c:pt>
                <c:pt idx="9">
                  <c:v>0.71770673705216914</c:v>
                </c:pt>
                <c:pt idx="10">
                  <c:v>0.7750921306677494</c:v>
                </c:pt>
                <c:pt idx="11">
                  <c:v>0.82520944557028231</c:v>
                </c:pt>
                <c:pt idx="12">
                  <c:v>0.86759235154310788</c:v>
                </c:pt>
                <c:pt idx="13">
                  <c:v>0.90229879817385761</c:v>
                </c:pt>
                <c:pt idx="14">
                  <c:v>0.92981864629767874</c:v>
                </c:pt>
                <c:pt idx="15">
                  <c:v>0.95094859033989387</c:v>
                </c:pt>
                <c:pt idx="16">
                  <c:v>0.96665826032107804</c:v>
                </c:pt>
                <c:pt idx="17">
                  <c:v>0.97796798783179217</c:v>
                </c:pt>
                <c:pt idx="18">
                  <c:v>0.98585211365021697</c:v>
                </c:pt>
                <c:pt idx="19">
                  <c:v>0.9911740690780465</c:v>
                </c:pt>
                <c:pt idx="20">
                  <c:v>0.99465267437587968</c:v>
                </c:pt>
                <c:pt idx="21">
                  <c:v>0.99685435975604453</c:v>
                </c:pt>
                <c:pt idx="22">
                  <c:v>0.99820370005737891</c:v>
                </c:pt>
                <c:pt idx="23">
                  <c:v>0.99900446268364318</c:v>
                </c:pt>
                <c:pt idx="24">
                  <c:v>0.99946461552361254</c:v>
                </c:pt>
                <c:pt idx="25">
                  <c:v>0.99972066055959874</c:v>
                </c:pt>
                <c:pt idx="26">
                  <c:v>0.99985861843167001</c:v>
                </c:pt>
                <c:pt idx="27">
                  <c:v>0.99993059521156713</c:v>
                </c:pt>
                <c:pt idx="28">
                  <c:v>0.99996695773906641</c:v>
                </c:pt>
                <c:pt idx="29">
                  <c:v>0.99998474591250264</c:v>
                </c:pt>
                <c:pt idx="30">
                  <c:v>0.99999317196590376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2-49D9-85B6-856E42D982EC}"/>
            </c:ext>
          </c:extLst>
        </c:ser>
        <c:ser>
          <c:idx val="3"/>
          <c:order val="3"/>
          <c:tx>
            <c:strRef>
              <c:f>'850S62_160'!$AE$40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'850S62_160'!$AE$41:$AE$71</c:f>
              <c:numCache>
                <c:formatCode>0%</c:formatCode>
                <c:ptCount val="31"/>
                <c:pt idx="0">
                  <c:v>0.99999317196590376</c:v>
                </c:pt>
                <c:pt idx="1">
                  <c:v>0.99998474591250264</c:v>
                </c:pt>
                <c:pt idx="2">
                  <c:v>0.99996695773906641</c:v>
                </c:pt>
                <c:pt idx="3">
                  <c:v>0.99993059521156713</c:v>
                </c:pt>
                <c:pt idx="4">
                  <c:v>0.99985861843167001</c:v>
                </c:pt>
                <c:pt idx="5">
                  <c:v>0.99972066055959874</c:v>
                </c:pt>
                <c:pt idx="6">
                  <c:v>0.99946461552361254</c:v>
                </c:pt>
                <c:pt idx="7">
                  <c:v>0.99900446268364318</c:v>
                </c:pt>
                <c:pt idx="8">
                  <c:v>0.99820370005737891</c:v>
                </c:pt>
                <c:pt idx="9">
                  <c:v>0.99685435975604453</c:v>
                </c:pt>
                <c:pt idx="10">
                  <c:v>0.99465267437587968</c:v>
                </c:pt>
                <c:pt idx="11">
                  <c:v>0.99117406907804639</c:v>
                </c:pt>
                <c:pt idx="12">
                  <c:v>0.98585211365021697</c:v>
                </c:pt>
                <c:pt idx="13">
                  <c:v>0.97796798783179217</c:v>
                </c:pt>
                <c:pt idx="14">
                  <c:v>0.96665826032107816</c:v>
                </c:pt>
                <c:pt idx="15">
                  <c:v>0.95094859033989387</c:v>
                </c:pt>
                <c:pt idx="16">
                  <c:v>0.92981864629767874</c:v>
                </c:pt>
                <c:pt idx="17">
                  <c:v>0.90229879817385772</c:v>
                </c:pt>
                <c:pt idx="18">
                  <c:v>0.86759235154310788</c:v>
                </c:pt>
                <c:pt idx="19">
                  <c:v>0.82520944557028209</c:v>
                </c:pt>
                <c:pt idx="20">
                  <c:v>0.77509213066774929</c:v>
                </c:pt>
                <c:pt idx="21">
                  <c:v>0.71770673705216892</c:v>
                </c:pt>
                <c:pt idx="22">
                  <c:v>0.65408120067523046</c:v>
                </c:pt>
                <c:pt idx="23">
                  <c:v>0.5857721762853102</c:v>
                </c:pt>
                <c:pt idx="24">
                  <c:v>0.5147586216990232</c:v>
                </c:pt>
                <c:pt idx="25">
                  <c:v>0.44327262631002989</c:v>
                </c:pt>
                <c:pt idx="26">
                  <c:v>0.3735911674820297</c:v>
                </c:pt>
                <c:pt idx="27">
                  <c:v>0.30782083377625657</c:v>
                </c:pt>
                <c:pt idx="28">
                  <c:v>0.24770908054141022</c:v>
                </c:pt>
                <c:pt idx="29">
                  <c:v>0.19450985966590983</c:v>
                </c:pt>
                <c:pt idx="30">
                  <c:v>0.1489200623297765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2-49D9-85B6-856E42D982EC}"/>
            </c:ext>
          </c:extLst>
        </c:ser>
        <c:ser>
          <c:idx val="4"/>
          <c:order val="4"/>
          <c:tx>
            <c:strRef>
              <c:f>'850S62_160'!$AF$40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2-49D9-85B6-856E42D982EC}"/>
            </c:ext>
          </c:extLst>
        </c:ser>
        <c:ser>
          <c:idx val="5"/>
          <c:order val="5"/>
          <c:tx>
            <c:strRef>
              <c:f>'850S62_160'!$AG$40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'850S62_160'!$AG$41:$AG$71</c:f>
              <c:numCache>
                <c:formatCode>0%</c:formatCode>
                <c:ptCount val="31"/>
                <c:pt idx="0">
                  <c:v>0.85107993767022316</c:v>
                </c:pt>
                <c:pt idx="1">
                  <c:v>0.80549014033408994</c:v>
                </c:pt>
                <c:pt idx="2">
                  <c:v>0.75229091945858939</c:v>
                </c:pt>
                <c:pt idx="3">
                  <c:v>0.69217916622374309</c:v>
                </c:pt>
                <c:pt idx="4">
                  <c:v>0.62640883251796997</c:v>
                </c:pt>
                <c:pt idx="5">
                  <c:v>0.55672737368996983</c:v>
                </c:pt>
                <c:pt idx="6">
                  <c:v>0.48524137830097647</c:v>
                </c:pt>
                <c:pt idx="7">
                  <c:v>0.41422782371468936</c:v>
                </c:pt>
                <c:pt idx="8">
                  <c:v>0.34591879932476932</c:v>
                </c:pt>
                <c:pt idx="9">
                  <c:v>0.28229326294783086</c:v>
                </c:pt>
                <c:pt idx="10">
                  <c:v>0.2249078693322506</c:v>
                </c:pt>
                <c:pt idx="11">
                  <c:v>0.17479055442971769</c:v>
                </c:pt>
                <c:pt idx="12">
                  <c:v>0.13240764845689212</c:v>
                </c:pt>
                <c:pt idx="13">
                  <c:v>9.7701201826142392E-2</c:v>
                </c:pt>
                <c:pt idx="14">
                  <c:v>7.0181353702321259E-2</c:v>
                </c:pt>
                <c:pt idx="15">
                  <c:v>4.9051409660106127E-2</c:v>
                </c:pt>
                <c:pt idx="16">
                  <c:v>3.3341739678921956E-2</c:v>
                </c:pt>
                <c:pt idx="17">
                  <c:v>2.2032012168207826E-2</c:v>
                </c:pt>
                <c:pt idx="18">
                  <c:v>1.4147886349783034E-2</c:v>
                </c:pt>
                <c:pt idx="19">
                  <c:v>8.8259309219534954E-3</c:v>
                </c:pt>
                <c:pt idx="20">
                  <c:v>5.3473256241203249E-3</c:v>
                </c:pt>
                <c:pt idx="21">
                  <c:v>3.145640243955472E-3</c:v>
                </c:pt>
                <c:pt idx="22">
                  <c:v>1.7962999426210935E-3</c:v>
                </c:pt>
                <c:pt idx="23">
                  <c:v>9.9553731635682041E-4</c:v>
                </c:pt>
                <c:pt idx="24">
                  <c:v>5.3538447638745712E-4</c:v>
                </c:pt>
                <c:pt idx="25">
                  <c:v>2.7933944040126057E-4</c:v>
                </c:pt>
                <c:pt idx="26">
                  <c:v>1.4138156832999016E-4</c:v>
                </c:pt>
                <c:pt idx="27">
                  <c:v>6.940478843286968E-5</c:v>
                </c:pt>
                <c:pt idx="28">
                  <c:v>3.3042260933591194E-5</c:v>
                </c:pt>
                <c:pt idx="29">
                  <c:v>1.5254087497362789E-5</c:v>
                </c:pt>
                <c:pt idx="30">
                  <c:v>6.8280340962401098E-6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42-49D9-85B6-856E42D982EC}"/>
            </c:ext>
          </c:extLst>
        </c:ser>
        <c:ser>
          <c:idx val="6"/>
          <c:order val="6"/>
          <c:tx>
            <c:strRef>
              <c:f>'850S62_160'!$AH$40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'850S62_160'!$AH$41:$AH$71</c:f>
              <c:numCache>
                <c:formatCode>0%</c:formatCode>
                <c:ptCount val="31"/>
                <c:pt idx="0">
                  <c:v>6.8280340962401098E-6</c:v>
                </c:pt>
                <c:pt idx="1">
                  <c:v>1.5254087497362789E-5</c:v>
                </c:pt>
                <c:pt idx="2">
                  <c:v>3.3042260933591194E-5</c:v>
                </c:pt>
                <c:pt idx="3">
                  <c:v>6.940478843286968E-5</c:v>
                </c:pt>
                <c:pt idx="4">
                  <c:v>1.4138156832999016E-4</c:v>
                </c:pt>
                <c:pt idx="5">
                  <c:v>2.7933944040126057E-4</c:v>
                </c:pt>
                <c:pt idx="6">
                  <c:v>5.3538447638745712E-4</c:v>
                </c:pt>
                <c:pt idx="7">
                  <c:v>9.9553731635682041E-4</c:v>
                </c:pt>
                <c:pt idx="8">
                  <c:v>1.7962999426210935E-3</c:v>
                </c:pt>
                <c:pt idx="9">
                  <c:v>3.145640243955472E-3</c:v>
                </c:pt>
                <c:pt idx="10">
                  <c:v>5.3473256241203249E-3</c:v>
                </c:pt>
                <c:pt idx="11">
                  <c:v>8.8259309219536064E-3</c:v>
                </c:pt>
                <c:pt idx="12">
                  <c:v>1.4147886349783034E-2</c:v>
                </c:pt>
                <c:pt idx="13">
                  <c:v>2.2032012168207826E-2</c:v>
                </c:pt>
                <c:pt idx="14">
                  <c:v>3.3341739678921845E-2</c:v>
                </c:pt>
                <c:pt idx="15">
                  <c:v>4.9051409660106127E-2</c:v>
                </c:pt>
                <c:pt idx="16">
                  <c:v>7.0181353702321259E-2</c:v>
                </c:pt>
                <c:pt idx="17">
                  <c:v>9.7701201826142281E-2</c:v>
                </c:pt>
                <c:pt idx="18">
                  <c:v>0.13240764845689212</c:v>
                </c:pt>
                <c:pt idx="19">
                  <c:v>0.17479055442971791</c:v>
                </c:pt>
                <c:pt idx="20">
                  <c:v>0.22490786933225071</c:v>
                </c:pt>
                <c:pt idx="21">
                  <c:v>0.28229326294783108</c:v>
                </c:pt>
                <c:pt idx="22">
                  <c:v>0.34591879932476954</c:v>
                </c:pt>
                <c:pt idx="23">
                  <c:v>0.4142278237146898</c:v>
                </c:pt>
                <c:pt idx="24">
                  <c:v>0.4852413783009768</c:v>
                </c:pt>
                <c:pt idx="25">
                  <c:v>0.55672737368997005</c:v>
                </c:pt>
                <c:pt idx="26">
                  <c:v>0.6264088325179703</c:v>
                </c:pt>
                <c:pt idx="27">
                  <c:v>0.69217916622374343</c:v>
                </c:pt>
                <c:pt idx="28">
                  <c:v>0.75229091945858984</c:v>
                </c:pt>
                <c:pt idx="29">
                  <c:v>0.80549014033409017</c:v>
                </c:pt>
                <c:pt idx="30">
                  <c:v>0.8510799376702235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42-49D9-85B6-856E42D982EC}"/>
            </c:ext>
          </c:extLst>
        </c:ser>
        <c:ser>
          <c:idx val="7"/>
          <c:order val="7"/>
          <c:tx>
            <c:strRef>
              <c:f>'850S62_160'!$AI$40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42-49D9-85B6-856E42D982EC}"/>
            </c:ext>
          </c:extLst>
        </c:ser>
        <c:ser>
          <c:idx val="8"/>
          <c:order val="8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42-49D9-85B6-856E42D982EC}"/>
            </c:ext>
          </c:extLst>
        </c:ser>
        <c:ser>
          <c:idx val="9"/>
          <c:order val="9"/>
          <c:tx>
            <c:strRef>
              <c:f>'850S62_160'!$AO$40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'850S62_160'!$AN$41:$AN$47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'850S62_160'!$AO$41:$AO$47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42-49D9-85B6-856E42D982EC}"/>
            </c:ext>
          </c:extLst>
        </c:ser>
        <c:ser>
          <c:idx val="10"/>
          <c:order val="10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'850S62_160'!$AF$41:$AF$71</c:f>
              <c:numCache>
                <c:formatCode>0%</c:formatCode>
                <c:ptCount val="31"/>
                <c:pt idx="0">
                  <c:v>0.14891323429568049</c:v>
                </c:pt>
                <c:pt idx="1">
                  <c:v>0.19449460557841269</c:v>
                </c:pt>
                <c:pt idx="2">
                  <c:v>0.24767603828047702</c:v>
                </c:pt>
                <c:pt idx="3">
                  <c:v>0.30775142898782404</c:v>
                </c:pt>
                <c:pt idx="4">
                  <c:v>0.37344978591370004</c:v>
                </c:pt>
                <c:pt idx="5">
                  <c:v>0.44299328686962891</c:v>
                </c:pt>
                <c:pt idx="6">
                  <c:v>0.51422323722263608</c:v>
                </c:pt>
                <c:pt idx="7">
                  <c:v>0.58477663896895393</c:v>
                </c:pt>
                <c:pt idx="8">
                  <c:v>0.6522849007326097</c:v>
                </c:pt>
                <c:pt idx="9">
                  <c:v>0.71456109680821367</c:v>
                </c:pt>
                <c:pt idx="10">
                  <c:v>0.76974480504362908</c:v>
                </c:pt>
                <c:pt idx="11">
                  <c:v>0.8163835146483287</c:v>
                </c:pt>
                <c:pt idx="12">
                  <c:v>0.85344446519332484</c:v>
                </c:pt>
                <c:pt idx="13">
                  <c:v>0.88026678600564967</c:v>
                </c:pt>
                <c:pt idx="14">
                  <c:v>0.89647690661875679</c:v>
                </c:pt>
                <c:pt idx="15">
                  <c:v>0.90189718067978775</c:v>
                </c:pt>
                <c:pt idx="16">
                  <c:v>0.89647690661875679</c:v>
                </c:pt>
                <c:pt idx="17">
                  <c:v>0.88026678600564989</c:v>
                </c:pt>
                <c:pt idx="18">
                  <c:v>0.85344446519332484</c:v>
                </c:pt>
                <c:pt idx="19">
                  <c:v>0.81638351464832848</c:v>
                </c:pt>
                <c:pt idx="20">
                  <c:v>0.76974480504362885</c:v>
                </c:pt>
                <c:pt idx="21">
                  <c:v>0.71456109680821345</c:v>
                </c:pt>
                <c:pt idx="22">
                  <c:v>0.65228490073260925</c:v>
                </c:pt>
                <c:pt idx="23">
                  <c:v>0.58477663896895349</c:v>
                </c:pt>
                <c:pt idx="24">
                  <c:v>0.51422323722263563</c:v>
                </c:pt>
                <c:pt idx="25">
                  <c:v>0.44299328686962869</c:v>
                </c:pt>
                <c:pt idx="26">
                  <c:v>0.37344978591369982</c:v>
                </c:pt>
                <c:pt idx="27">
                  <c:v>0.30775142898782359</c:v>
                </c:pt>
                <c:pt idx="28">
                  <c:v>0.24767603828047657</c:v>
                </c:pt>
                <c:pt idx="29">
                  <c:v>0.19449460557841247</c:v>
                </c:pt>
                <c:pt idx="30">
                  <c:v>0.14891323429568026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42-49D9-85B6-856E42D982EC}"/>
            </c:ext>
          </c:extLst>
        </c:ser>
        <c:ser>
          <c:idx val="11"/>
          <c:order val="11"/>
          <c:tx>
            <c:strRef>
              <c:f>'850S62_160'!$AL$40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42-49D9-85B6-856E42D982EC}"/>
            </c:ext>
          </c:extLst>
        </c:ser>
        <c:ser>
          <c:idx val="12"/>
          <c:order val="12"/>
          <c:tx>
            <c:strRef>
              <c:f>'850S62_160'!$AM$40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'850S62_160'!$AM$41:$AM$71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'850S62_160'!$AI$41:$AI$71</c:f>
              <c:numCache>
                <c:formatCode>0%</c:formatCode>
                <c:ptCount val="31"/>
                <c:pt idx="0">
                  <c:v>0.85108676570431951</c:v>
                </c:pt>
                <c:pt idx="1">
                  <c:v>0.80550539442158731</c:v>
                </c:pt>
                <c:pt idx="2">
                  <c:v>0.75232396171952298</c:v>
                </c:pt>
                <c:pt idx="3">
                  <c:v>0.69224857101217596</c:v>
                </c:pt>
                <c:pt idx="4">
                  <c:v>0.62655021408629996</c:v>
                </c:pt>
                <c:pt idx="5">
                  <c:v>0.55700671313037109</c:v>
                </c:pt>
                <c:pt idx="6">
                  <c:v>0.48577676277736392</c:v>
                </c:pt>
                <c:pt idx="7">
                  <c:v>0.41522336103104607</c:v>
                </c:pt>
                <c:pt idx="8">
                  <c:v>0.3477150992673903</c:v>
                </c:pt>
                <c:pt idx="9">
                  <c:v>0.28543890319178633</c:v>
                </c:pt>
                <c:pt idx="10">
                  <c:v>0.23025519495637092</c:v>
                </c:pt>
                <c:pt idx="11">
                  <c:v>0.1836164853516713</c:v>
                </c:pt>
                <c:pt idx="12">
                  <c:v>0.14655553480667516</c:v>
                </c:pt>
                <c:pt idx="13">
                  <c:v>0.11973321399435033</c:v>
                </c:pt>
                <c:pt idx="14">
                  <c:v>0.10352309338124321</c:v>
                </c:pt>
                <c:pt idx="15">
                  <c:v>9.8102819320212253E-2</c:v>
                </c:pt>
                <c:pt idx="16">
                  <c:v>0.10352309338124321</c:v>
                </c:pt>
                <c:pt idx="17">
                  <c:v>0.11973321399435011</c:v>
                </c:pt>
                <c:pt idx="18">
                  <c:v>0.14655553480667516</c:v>
                </c:pt>
                <c:pt idx="19">
                  <c:v>0.18361648535167152</c:v>
                </c:pt>
                <c:pt idx="20">
                  <c:v>0.23025519495637115</c:v>
                </c:pt>
                <c:pt idx="21">
                  <c:v>0.28543890319178655</c:v>
                </c:pt>
                <c:pt idx="22">
                  <c:v>0.34771509926739075</c:v>
                </c:pt>
                <c:pt idx="23">
                  <c:v>0.41522336103104651</c:v>
                </c:pt>
                <c:pt idx="24">
                  <c:v>0.48577676277736437</c:v>
                </c:pt>
                <c:pt idx="25">
                  <c:v>0.55700671313037131</c:v>
                </c:pt>
                <c:pt idx="26">
                  <c:v>0.62655021408630018</c:v>
                </c:pt>
                <c:pt idx="27">
                  <c:v>0.69224857101217641</c:v>
                </c:pt>
                <c:pt idx="28">
                  <c:v>0.75232396171952343</c:v>
                </c:pt>
                <c:pt idx="29">
                  <c:v>0.80550539442158753</c:v>
                </c:pt>
                <c:pt idx="30">
                  <c:v>0.85108676570431974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E42-49D9-85B6-856E42D982EC}"/>
            </c:ext>
          </c:extLst>
        </c:ser>
        <c:ser>
          <c:idx val="13"/>
          <c:order val="13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'850S62_160'!$AT$55:$AT$69</c:f>
              <c:numCache>
                <c:formatCode>0%</c:formatCode>
                <c:ptCount val="15"/>
                <c:pt idx="0">
                  <c:v>0.73220352300368141</c:v>
                </c:pt>
                <c:pt idx="1">
                  <c:v>0.73570775766658114</c:v>
                </c:pt>
                <c:pt idx="2">
                  <c:v>0.73220352300368141</c:v>
                </c:pt>
                <c:pt idx="3">
                  <c:v>0.72178086509762629</c:v>
                </c:pt>
                <c:pt idx="4">
                  <c:v>0.70470682969979848</c:v>
                </c:pt>
                <c:pt idx="5">
                  <c:v>0.68141624416150748</c:v>
                </c:pt>
                <c:pt idx="6">
                  <c:v>0.65249656723068084</c:v>
                </c:pt>
                <c:pt idx="7">
                  <c:v>0.61866717495302037</c:v>
                </c:pt>
                <c:pt idx="8">
                  <c:v>0.58075367901821906</c:v>
                </c:pt>
                <c:pt idx="9">
                  <c:v>0.53965814949670965</c:v>
                </c:pt>
                <c:pt idx="10">
                  <c:v>0.49632641208844608</c:v>
                </c:pt>
                <c:pt idx="11">
                  <c:v>0.45171387051124889</c:v>
                </c:pt>
                <c:pt idx="12">
                  <c:v>0.40675151959522338</c:v>
                </c:pt>
                <c:pt idx="13">
                  <c:v>0.36231391826593962</c:v>
                </c:pt>
                <c:pt idx="14">
                  <c:v>0.31919085007017833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42-49D9-85B6-856E42D982EC}"/>
            </c:ext>
          </c:extLst>
        </c:ser>
        <c:ser>
          <c:idx val="14"/>
          <c:order val="14"/>
          <c:tx>
            <c:strRef>
              <c:f>'850S62_160'!$AT$39:$AT$40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'850S62_160'!$AT$43:$AT$57</c:f>
              <c:numCache>
                <c:formatCode>0%</c:formatCode>
                <c:ptCount val="15"/>
                <c:pt idx="0">
                  <c:v>0.31919085007017878</c:v>
                </c:pt>
                <c:pt idx="1">
                  <c:v>0.36231391826593984</c:v>
                </c:pt>
                <c:pt idx="2">
                  <c:v>0.4067515195952236</c:v>
                </c:pt>
                <c:pt idx="3">
                  <c:v>0.45171387051124912</c:v>
                </c:pt>
                <c:pt idx="4">
                  <c:v>0.4963264120884463</c:v>
                </c:pt>
                <c:pt idx="5">
                  <c:v>0.53965814949670987</c:v>
                </c:pt>
                <c:pt idx="6">
                  <c:v>0.58075367901821906</c:v>
                </c:pt>
                <c:pt idx="7">
                  <c:v>0.61866717495302037</c:v>
                </c:pt>
                <c:pt idx="8">
                  <c:v>0.65249656723068084</c:v>
                </c:pt>
                <c:pt idx="9">
                  <c:v>0.68141624416150748</c:v>
                </c:pt>
                <c:pt idx="10">
                  <c:v>0.70470682969979848</c:v>
                </c:pt>
                <c:pt idx="11">
                  <c:v>0.72178086509762607</c:v>
                </c:pt>
                <c:pt idx="12">
                  <c:v>0.73220352300368141</c:v>
                </c:pt>
                <c:pt idx="13">
                  <c:v>0.73570775766658114</c:v>
                </c:pt>
                <c:pt idx="14">
                  <c:v>0.73220352300368141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42-49D9-85B6-856E42D982EC}"/>
            </c:ext>
          </c:extLst>
        </c:ser>
        <c:ser>
          <c:idx val="15"/>
          <c:order val="15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'850S62_160'!$AL$55:$AL$69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'850S62_160'!$AW$55:$AW$69</c:f>
              <c:numCache>
                <c:formatCode>0%</c:formatCode>
                <c:ptCount val="15"/>
                <c:pt idx="0">
                  <c:v>0.26779647699631859</c:v>
                </c:pt>
                <c:pt idx="1">
                  <c:v>0.26429224233341886</c:v>
                </c:pt>
                <c:pt idx="2">
                  <c:v>0.26779647699631859</c:v>
                </c:pt>
                <c:pt idx="3">
                  <c:v>0.27821913490237371</c:v>
                </c:pt>
                <c:pt idx="4">
                  <c:v>0.29529317030020152</c:v>
                </c:pt>
                <c:pt idx="5">
                  <c:v>0.31858375583849252</c:v>
                </c:pt>
                <c:pt idx="6">
                  <c:v>0.34750343276931916</c:v>
                </c:pt>
                <c:pt idx="7">
                  <c:v>0.38133282504697963</c:v>
                </c:pt>
                <c:pt idx="8">
                  <c:v>0.41924632098178094</c:v>
                </c:pt>
                <c:pt idx="9">
                  <c:v>0.46034185050329035</c:v>
                </c:pt>
                <c:pt idx="10">
                  <c:v>0.50367358791155392</c:v>
                </c:pt>
                <c:pt idx="11">
                  <c:v>0.54828612948875111</c:v>
                </c:pt>
                <c:pt idx="12">
                  <c:v>0.59324848040477662</c:v>
                </c:pt>
                <c:pt idx="13">
                  <c:v>0.63768608173406038</c:v>
                </c:pt>
                <c:pt idx="14">
                  <c:v>0.68080914992982167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42-49D9-85B6-856E42D982EC}"/>
            </c:ext>
          </c:extLst>
        </c:ser>
        <c:ser>
          <c:idx val="16"/>
          <c:order val="16"/>
          <c:tx>
            <c:strRef>
              <c:f>'850S62_160'!$AW$39:$AW$40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'850S62_160'!$AM$43:$AM$57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'850S62_160'!$AW$43:$AW$57</c:f>
              <c:numCache>
                <c:formatCode>0%</c:formatCode>
                <c:ptCount val="15"/>
                <c:pt idx="0">
                  <c:v>0.68080914992982122</c:v>
                </c:pt>
                <c:pt idx="1">
                  <c:v>0.63768608173406016</c:v>
                </c:pt>
                <c:pt idx="2">
                  <c:v>0.5932484804047764</c:v>
                </c:pt>
                <c:pt idx="3">
                  <c:v>0.54828612948875088</c:v>
                </c:pt>
                <c:pt idx="4">
                  <c:v>0.5036735879115537</c:v>
                </c:pt>
                <c:pt idx="5">
                  <c:v>0.46034185050329013</c:v>
                </c:pt>
                <c:pt idx="6">
                  <c:v>0.41924632098178094</c:v>
                </c:pt>
                <c:pt idx="7">
                  <c:v>0.38133282504697963</c:v>
                </c:pt>
                <c:pt idx="8">
                  <c:v>0.34750343276931916</c:v>
                </c:pt>
                <c:pt idx="9">
                  <c:v>0.31858375583849252</c:v>
                </c:pt>
                <c:pt idx="10">
                  <c:v>0.29529317030020152</c:v>
                </c:pt>
                <c:pt idx="11">
                  <c:v>0.27821913490237393</c:v>
                </c:pt>
                <c:pt idx="12">
                  <c:v>0.26779647699631859</c:v>
                </c:pt>
                <c:pt idx="13">
                  <c:v>0.26429224233341886</c:v>
                </c:pt>
                <c:pt idx="14">
                  <c:v>0.26779647699631859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42-49D9-85B6-856E42D982EC}"/>
            </c:ext>
          </c:extLst>
        </c:ser>
        <c:ser>
          <c:idx val="17"/>
          <c:order val="17"/>
          <c:tx>
            <c:strRef>
              <c:f>'850S62_160'!$AI$8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'850S62_160'!$AJ$8:$AJ$9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'850S62_160'!$AK$8:$AK$9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E42-49D9-85B6-856E42D9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28751"/>
        <c:axId val="1"/>
      </c:scatterChart>
      <c:valAx>
        <c:axId val="946828751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287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677951654980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0-4788-9110-E2AD66D0A7D1}"/>
            </c:ext>
          </c:extLst>
        </c:ser>
        <c:ser>
          <c:idx val="1"/>
          <c:order val="1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0-4788-9110-E2AD66D0A7D1}"/>
            </c:ext>
          </c:extLst>
        </c:ser>
        <c:ser>
          <c:idx val="2"/>
          <c:order val="2"/>
          <c:tx>
            <c:strRef>
              <c:f>'1550S40km'!$AD$40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'1550S40km'!$AD$41:$AD$69</c:f>
              <c:numCache>
                <c:formatCode>0%</c:formatCode>
                <c:ptCount val="29"/>
                <c:pt idx="0">
                  <c:v>0.22071539921495598</c:v>
                </c:pt>
                <c:pt idx="1">
                  <c:v>0.26343949119425492</c:v>
                </c:pt>
                <c:pt idx="2">
                  <c:v>0.31002638183094283</c:v>
                </c:pt>
                <c:pt idx="3">
                  <c:v>0.35988220023205941</c:v>
                </c:pt>
                <c:pt idx="4">
                  <c:v>0.41224576648183531</c:v>
                </c:pt>
                <c:pt idx="5">
                  <c:v>0.46622215551807583</c:v>
                </c:pt>
                <c:pt idx="6">
                  <c:v>0.52082806970500695</c:v>
                </c:pt>
                <c:pt idx="7">
                  <c:v>0.57504523184121803</c:v>
                </c:pt>
                <c:pt idx="8">
                  <c:v>0.62787699755702331</c:v>
                </c:pt>
                <c:pt idx="9">
                  <c:v>0.67840297378747283</c:v>
                </c:pt>
                <c:pt idx="10">
                  <c:v>0.72582668571739095</c:v>
                </c:pt>
                <c:pt idx="11">
                  <c:v>0.76951221637900979</c:v>
                </c:pt>
                <c:pt idx="12">
                  <c:v>0.80900710801218689</c:v>
                </c:pt>
                <c:pt idx="13">
                  <c:v>0.84405044656134987</c:v>
                </c:pt>
                <c:pt idx="14">
                  <c:v>0.87456670302489548</c:v>
                </c:pt>
                <c:pt idx="15">
                  <c:v>0.90064734447380679</c:v>
                </c:pt>
                <c:pt idx="16">
                  <c:v>0.92252327361610598</c:v>
                </c:pt>
                <c:pt idx="17">
                  <c:v>0.94053170851175394</c:v>
                </c:pt>
                <c:pt idx="18">
                  <c:v>0.95508116099069484</c:v>
                </c:pt>
                <c:pt idx="19">
                  <c:v>0.96661777981690655</c:v>
                </c:pt>
                <c:pt idx="20">
                  <c:v>0.9755956153327543</c:v>
                </c:pt>
                <c:pt idx="21">
                  <c:v>0.98245248582076006</c:v>
                </c:pt>
                <c:pt idx="22">
                  <c:v>0.98759222929718948</c:v>
                </c:pt>
                <c:pt idx="23">
                  <c:v>0.99137332900252884</c:v>
                </c:pt>
                <c:pt idx="24">
                  <c:v>0.99410328719514207</c:v>
                </c:pt>
                <c:pt idx="25">
                  <c:v>0.99603772618011566</c:v>
                </c:pt>
                <c:pt idx="26">
                  <c:v>0.99738301409518948</c:v>
                </c:pt>
                <c:pt idx="27">
                  <c:v>0.99830121264442029</c:v>
                </c:pt>
                <c:pt idx="28">
                  <c:v>0.99891627494881874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0-4788-9110-E2AD66D0A7D1}"/>
            </c:ext>
          </c:extLst>
        </c:ser>
        <c:ser>
          <c:idx val="3"/>
          <c:order val="3"/>
          <c:tx>
            <c:strRef>
              <c:f>'1550S40km'!$AE$40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'1550S40km'!$AE$41:$AE$69</c:f>
              <c:numCache>
                <c:formatCode>0%</c:formatCode>
                <c:ptCount val="29"/>
                <c:pt idx="0">
                  <c:v>0.99958152596035932</c:v>
                </c:pt>
                <c:pt idx="1">
                  <c:v>0.99932062989306525</c:v>
                </c:pt>
                <c:pt idx="2">
                  <c:v>0.99891627494881874</c:v>
                </c:pt>
                <c:pt idx="3">
                  <c:v>0.99830121264442029</c:v>
                </c:pt>
                <c:pt idx="4">
                  <c:v>0.99738301409518948</c:v>
                </c:pt>
                <c:pt idx="5">
                  <c:v>0.99603772618011566</c:v>
                </c:pt>
                <c:pt idx="6">
                  <c:v>0.99410328719514207</c:v>
                </c:pt>
                <c:pt idx="7">
                  <c:v>0.99137332900252884</c:v>
                </c:pt>
                <c:pt idx="8">
                  <c:v>0.98759222929718948</c:v>
                </c:pt>
                <c:pt idx="9">
                  <c:v>0.98245248582075995</c:v>
                </c:pt>
                <c:pt idx="10">
                  <c:v>0.9755956153327543</c:v>
                </c:pt>
                <c:pt idx="11">
                  <c:v>0.96661777981690644</c:v>
                </c:pt>
                <c:pt idx="12">
                  <c:v>0.95508116099069484</c:v>
                </c:pt>
                <c:pt idx="13">
                  <c:v>0.94053170851175394</c:v>
                </c:pt>
                <c:pt idx="14">
                  <c:v>0.92252327361610598</c:v>
                </c:pt>
                <c:pt idx="15">
                  <c:v>0.90064734447380679</c:v>
                </c:pt>
                <c:pt idx="16">
                  <c:v>0.87456670302489559</c:v>
                </c:pt>
                <c:pt idx="17">
                  <c:v>0.84405044656134987</c:v>
                </c:pt>
                <c:pt idx="18">
                  <c:v>0.80900710801218689</c:v>
                </c:pt>
                <c:pt idx="19">
                  <c:v>0.76951221637900979</c:v>
                </c:pt>
                <c:pt idx="20">
                  <c:v>0.72582668571739084</c:v>
                </c:pt>
                <c:pt idx="21">
                  <c:v>0.67840297378747261</c:v>
                </c:pt>
                <c:pt idx="22">
                  <c:v>0.6278769975570232</c:v>
                </c:pt>
                <c:pt idx="23">
                  <c:v>0.57504523184121781</c:v>
                </c:pt>
                <c:pt idx="24">
                  <c:v>0.52082806970500661</c:v>
                </c:pt>
                <c:pt idx="25">
                  <c:v>0.4662221555180755</c:v>
                </c:pt>
                <c:pt idx="26">
                  <c:v>0.41224576648183503</c:v>
                </c:pt>
                <c:pt idx="27">
                  <c:v>0.35988220023205908</c:v>
                </c:pt>
                <c:pt idx="28">
                  <c:v>0.31002638183094261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0-4788-9110-E2AD66D0A7D1}"/>
            </c:ext>
          </c:extLst>
        </c:ser>
        <c:ser>
          <c:idx val="4"/>
          <c:order val="4"/>
          <c:tx>
            <c:strRef>
              <c:f>'1550S40km'!$AF$40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0-4788-9110-E2AD66D0A7D1}"/>
            </c:ext>
          </c:extLst>
        </c:ser>
        <c:ser>
          <c:idx val="5"/>
          <c:order val="5"/>
          <c:tx>
            <c:strRef>
              <c:f>'1550S40km'!$AG$40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'1550S40km'!$AG$41:$AG$69</c:f>
              <c:numCache>
                <c:formatCode>0%</c:formatCode>
                <c:ptCount val="29"/>
                <c:pt idx="0">
                  <c:v>0.77928460078504402</c:v>
                </c:pt>
                <c:pt idx="1">
                  <c:v>0.73656050880574508</c:v>
                </c:pt>
                <c:pt idx="2">
                  <c:v>0.68997361816905722</c:v>
                </c:pt>
                <c:pt idx="3">
                  <c:v>0.64011779976794059</c:v>
                </c:pt>
                <c:pt idx="4">
                  <c:v>0.58775423351816469</c:v>
                </c:pt>
                <c:pt idx="5">
                  <c:v>0.53377784448192411</c:v>
                </c:pt>
                <c:pt idx="6">
                  <c:v>0.47917193029499305</c:v>
                </c:pt>
                <c:pt idx="7">
                  <c:v>0.42495476815878197</c:v>
                </c:pt>
                <c:pt idx="8">
                  <c:v>0.37212300244297669</c:v>
                </c:pt>
                <c:pt idx="9">
                  <c:v>0.32159702621252717</c:v>
                </c:pt>
                <c:pt idx="10">
                  <c:v>0.27417331428260905</c:v>
                </c:pt>
                <c:pt idx="11">
                  <c:v>0.23048778362099021</c:v>
                </c:pt>
                <c:pt idx="12">
                  <c:v>0.19099289198781311</c:v>
                </c:pt>
                <c:pt idx="13">
                  <c:v>0.15594955343865013</c:v>
                </c:pt>
                <c:pt idx="14">
                  <c:v>0.12543329697510452</c:v>
                </c:pt>
                <c:pt idx="15">
                  <c:v>9.9352655526193212E-2</c:v>
                </c:pt>
                <c:pt idx="16">
                  <c:v>7.7476726383894023E-2</c:v>
                </c:pt>
                <c:pt idx="17">
                  <c:v>5.9468291488246061E-2</c:v>
                </c:pt>
                <c:pt idx="18">
                  <c:v>4.4918839009305156E-2</c:v>
                </c:pt>
                <c:pt idx="19">
                  <c:v>3.3382220183093447E-2</c:v>
                </c:pt>
                <c:pt idx="20">
                  <c:v>2.4404384667245704E-2</c:v>
                </c:pt>
                <c:pt idx="21">
                  <c:v>1.7547514179239943E-2</c:v>
                </c:pt>
                <c:pt idx="22">
                  <c:v>1.2407770702810517E-2</c:v>
                </c:pt>
                <c:pt idx="23">
                  <c:v>8.6266709974711642E-3</c:v>
                </c:pt>
                <c:pt idx="24">
                  <c:v>5.8967128048579287E-3</c:v>
                </c:pt>
                <c:pt idx="25">
                  <c:v>3.9622738198843432E-3</c:v>
                </c:pt>
                <c:pt idx="26">
                  <c:v>2.6169859048105204E-3</c:v>
                </c:pt>
                <c:pt idx="27">
                  <c:v>1.6987873555797117E-3</c:v>
                </c:pt>
                <c:pt idx="28">
                  <c:v>1.0837250511812613E-3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60-4788-9110-E2AD66D0A7D1}"/>
            </c:ext>
          </c:extLst>
        </c:ser>
        <c:ser>
          <c:idx val="6"/>
          <c:order val="6"/>
          <c:tx>
            <c:strRef>
              <c:f>'1550S40km'!$AH$40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'1550S40km'!$AH$41:$AH$69</c:f>
              <c:numCache>
                <c:formatCode>0%</c:formatCode>
                <c:ptCount val="29"/>
                <c:pt idx="0">
                  <c:v>4.1847403964068164E-4</c:v>
                </c:pt>
                <c:pt idx="1">
                  <c:v>6.7937010693475131E-4</c:v>
                </c:pt>
                <c:pt idx="2">
                  <c:v>1.0837250511812613E-3</c:v>
                </c:pt>
                <c:pt idx="3">
                  <c:v>1.6987873555797117E-3</c:v>
                </c:pt>
                <c:pt idx="4">
                  <c:v>2.6169859048105204E-3</c:v>
                </c:pt>
                <c:pt idx="5">
                  <c:v>3.9622738198843432E-3</c:v>
                </c:pt>
                <c:pt idx="6">
                  <c:v>5.8967128048579287E-3</c:v>
                </c:pt>
                <c:pt idx="7">
                  <c:v>8.6266709974711642E-3</c:v>
                </c:pt>
                <c:pt idx="8">
                  <c:v>1.2407770702810517E-2</c:v>
                </c:pt>
                <c:pt idx="9">
                  <c:v>1.7547514179240054E-2</c:v>
                </c:pt>
                <c:pt idx="10">
                  <c:v>2.4404384667245704E-2</c:v>
                </c:pt>
                <c:pt idx="11">
                  <c:v>3.3382220183093558E-2</c:v>
                </c:pt>
                <c:pt idx="12">
                  <c:v>4.4918839009305156E-2</c:v>
                </c:pt>
                <c:pt idx="13">
                  <c:v>5.9468291488246061E-2</c:v>
                </c:pt>
                <c:pt idx="14">
                  <c:v>7.7476726383894023E-2</c:v>
                </c:pt>
                <c:pt idx="15">
                  <c:v>9.9352655526193212E-2</c:v>
                </c:pt>
                <c:pt idx="16">
                  <c:v>0.12543329697510441</c:v>
                </c:pt>
                <c:pt idx="17">
                  <c:v>0.15594955343865013</c:v>
                </c:pt>
                <c:pt idx="18">
                  <c:v>0.19099289198781311</c:v>
                </c:pt>
                <c:pt idx="19">
                  <c:v>0.23048778362099021</c:v>
                </c:pt>
                <c:pt idx="20">
                  <c:v>0.27417331428260916</c:v>
                </c:pt>
                <c:pt idx="21">
                  <c:v>0.32159702621252739</c:v>
                </c:pt>
                <c:pt idx="22">
                  <c:v>0.3721230024429768</c:v>
                </c:pt>
                <c:pt idx="23">
                  <c:v>0.42495476815878219</c:v>
                </c:pt>
                <c:pt idx="24">
                  <c:v>0.47917193029499339</c:v>
                </c:pt>
                <c:pt idx="25">
                  <c:v>0.53377784448192456</c:v>
                </c:pt>
                <c:pt idx="26">
                  <c:v>0.58775423351816491</c:v>
                </c:pt>
                <c:pt idx="27">
                  <c:v>0.64011779976794092</c:v>
                </c:pt>
                <c:pt idx="28">
                  <c:v>0.68997361816905745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60-4788-9110-E2AD66D0A7D1}"/>
            </c:ext>
          </c:extLst>
        </c:ser>
        <c:ser>
          <c:idx val="7"/>
          <c:order val="7"/>
          <c:tx>
            <c:strRef>
              <c:f>'1550S40km'!$AI$40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'1550S40km'!$Z$41:$Z$69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60-4788-9110-E2AD66D0A7D1}"/>
            </c:ext>
          </c:extLst>
        </c:ser>
        <c:ser>
          <c:idx val="8"/>
          <c:order val="8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60-4788-9110-E2AD66D0A7D1}"/>
            </c:ext>
          </c:extLst>
        </c:ser>
        <c:ser>
          <c:idx val="9"/>
          <c:order val="9"/>
          <c:tx>
            <c:strRef>
              <c:f>'1550S40km'!$AO$40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'1550S40km'!$AN$41:$AN$47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'1550S40km'!$AO$41:$AO$47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60-4788-9110-E2AD66D0A7D1}"/>
            </c:ext>
          </c:extLst>
        </c:ser>
        <c:ser>
          <c:idx val="10"/>
          <c:order val="10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'1550S40km'!$AF$41:$AF$69</c:f>
              <c:numCache>
                <c:formatCode>0%</c:formatCode>
                <c:ptCount val="29"/>
                <c:pt idx="0">
                  <c:v>0.22029692517531529</c:v>
                </c:pt>
                <c:pt idx="1">
                  <c:v>0.26276012108732028</c:v>
                </c:pt>
                <c:pt idx="2">
                  <c:v>0.30894265677976152</c:v>
                </c:pt>
                <c:pt idx="3">
                  <c:v>0.35818341287647959</c:v>
                </c:pt>
                <c:pt idx="4">
                  <c:v>0.4096287805770249</c:v>
                </c:pt>
                <c:pt idx="5">
                  <c:v>0.46225988169819154</c:v>
                </c:pt>
                <c:pt idx="6">
                  <c:v>0.51493135690014902</c:v>
                </c:pt>
                <c:pt idx="7">
                  <c:v>0.56641856084374687</c:v>
                </c:pt>
                <c:pt idx="8">
                  <c:v>0.61546922685421279</c:v>
                </c:pt>
                <c:pt idx="9">
                  <c:v>0.66085545960823278</c:v>
                </c:pt>
                <c:pt idx="10">
                  <c:v>0.70142230105014525</c:v>
                </c:pt>
                <c:pt idx="11">
                  <c:v>0.73612999619591624</c:v>
                </c:pt>
                <c:pt idx="12">
                  <c:v>0.76408826900288185</c:v>
                </c:pt>
                <c:pt idx="13">
                  <c:v>0.7845821550731038</c:v>
                </c:pt>
                <c:pt idx="14">
                  <c:v>0.79708997664100156</c:v>
                </c:pt>
                <c:pt idx="15">
                  <c:v>0.80129468894761358</c:v>
                </c:pt>
                <c:pt idx="16">
                  <c:v>0.79708997664100156</c:v>
                </c:pt>
                <c:pt idx="17">
                  <c:v>0.7845821550731038</c:v>
                </c:pt>
                <c:pt idx="18">
                  <c:v>0.76408826900288185</c:v>
                </c:pt>
                <c:pt idx="19">
                  <c:v>0.73612999619591646</c:v>
                </c:pt>
                <c:pt idx="20">
                  <c:v>0.70142230105014525</c:v>
                </c:pt>
                <c:pt idx="21">
                  <c:v>0.66085545960823255</c:v>
                </c:pt>
                <c:pt idx="22">
                  <c:v>0.61546922685421279</c:v>
                </c:pt>
                <c:pt idx="23">
                  <c:v>0.56641856084374664</c:v>
                </c:pt>
                <c:pt idx="24">
                  <c:v>0.5149313569001488</c:v>
                </c:pt>
                <c:pt idx="25">
                  <c:v>0.4622598816981911</c:v>
                </c:pt>
                <c:pt idx="26">
                  <c:v>0.40962878057702445</c:v>
                </c:pt>
                <c:pt idx="27">
                  <c:v>0.35818341287647937</c:v>
                </c:pt>
                <c:pt idx="28">
                  <c:v>0.30894265677976129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60-4788-9110-E2AD66D0A7D1}"/>
            </c:ext>
          </c:extLst>
        </c:ser>
        <c:ser>
          <c:idx val="11"/>
          <c:order val="11"/>
          <c:tx>
            <c:strRef>
              <c:f>'1550S40km'!$AL$40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'1550S40km'!$AL$41:$AL$69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60-4788-9110-E2AD66D0A7D1}"/>
            </c:ext>
          </c:extLst>
        </c:ser>
        <c:ser>
          <c:idx val="12"/>
          <c:order val="12"/>
          <c:tx>
            <c:strRef>
              <c:f>'1550S40km'!$AM$40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'1550S40km'!$AM$41:$AM$69</c:f>
              <c:numCache>
                <c:formatCode>General</c:formatCode>
                <c:ptCount val="29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</c:numCache>
            </c:numRef>
          </c:xVal>
          <c:yVal>
            <c:numRef>
              <c:f>'1550S40km'!$AI$41:$AI$69</c:f>
              <c:numCache>
                <c:formatCode>0%</c:formatCode>
                <c:ptCount val="29"/>
                <c:pt idx="0">
                  <c:v>0.77970307482468471</c:v>
                </c:pt>
                <c:pt idx="1">
                  <c:v>0.73723987891267972</c:v>
                </c:pt>
                <c:pt idx="2">
                  <c:v>0.69105734322023848</c:v>
                </c:pt>
                <c:pt idx="3">
                  <c:v>0.64181658712352041</c:v>
                </c:pt>
                <c:pt idx="4">
                  <c:v>0.5903712194229751</c:v>
                </c:pt>
                <c:pt idx="5">
                  <c:v>0.53774011830180846</c:v>
                </c:pt>
                <c:pt idx="6">
                  <c:v>0.48506864309985098</c:v>
                </c:pt>
                <c:pt idx="7">
                  <c:v>0.43358143915625313</c:v>
                </c:pt>
                <c:pt idx="8">
                  <c:v>0.38453077314578721</c:v>
                </c:pt>
                <c:pt idx="9">
                  <c:v>0.33914454039176722</c:v>
                </c:pt>
                <c:pt idx="10">
                  <c:v>0.29857769894985475</c:v>
                </c:pt>
                <c:pt idx="11">
                  <c:v>0.26387000380408376</c:v>
                </c:pt>
                <c:pt idx="12">
                  <c:v>0.23591173099711815</c:v>
                </c:pt>
                <c:pt idx="13">
                  <c:v>0.2154178449268962</c:v>
                </c:pt>
                <c:pt idx="14">
                  <c:v>0.20291002335899844</c:v>
                </c:pt>
                <c:pt idx="15">
                  <c:v>0.19870531105238642</c:v>
                </c:pt>
                <c:pt idx="16">
                  <c:v>0.20291002335899844</c:v>
                </c:pt>
                <c:pt idx="17">
                  <c:v>0.2154178449268962</c:v>
                </c:pt>
                <c:pt idx="18">
                  <c:v>0.23591173099711815</c:v>
                </c:pt>
                <c:pt idx="19">
                  <c:v>0.26387000380408354</c:v>
                </c:pt>
                <c:pt idx="20">
                  <c:v>0.29857769894985475</c:v>
                </c:pt>
                <c:pt idx="21">
                  <c:v>0.33914454039176745</c:v>
                </c:pt>
                <c:pt idx="22">
                  <c:v>0.38453077314578721</c:v>
                </c:pt>
                <c:pt idx="23">
                  <c:v>0.43358143915625336</c:v>
                </c:pt>
                <c:pt idx="24">
                  <c:v>0.4850686430998512</c:v>
                </c:pt>
                <c:pt idx="25">
                  <c:v>0.5377401183018089</c:v>
                </c:pt>
                <c:pt idx="26">
                  <c:v>0.59037121942297555</c:v>
                </c:pt>
                <c:pt idx="27">
                  <c:v>0.64181658712352063</c:v>
                </c:pt>
                <c:pt idx="28">
                  <c:v>0.69105734322023871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60-4788-9110-E2AD66D0A7D1}"/>
            </c:ext>
          </c:extLst>
        </c:ser>
        <c:ser>
          <c:idx val="13"/>
          <c:order val="13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'1550S40km'!$AT$55:$AT$69</c:f>
              <c:numCache>
                <c:formatCode>0%</c:formatCode>
                <c:ptCount val="15"/>
                <c:pt idx="0">
                  <c:v>0.74955607614128672</c:v>
                </c:pt>
                <c:pt idx="1">
                  <c:v>0.75314887156428711</c:v>
                </c:pt>
                <c:pt idx="2">
                  <c:v>0.74955607614128672</c:v>
                </c:pt>
                <c:pt idx="3">
                  <c:v>0.73886823077518349</c:v>
                </c:pt>
                <c:pt idx="4">
                  <c:v>0.72135412530748333</c:v>
                </c:pt>
                <c:pt idx="5">
                  <c:v>0.69745230333925656</c:v>
                </c:pt>
                <c:pt idx="6">
                  <c:v>0.6677569407862336</c:v>
                </c:pt>
                <c:pt idx="7">
                  <c:v>0.63299823735981553</c:v>
                </c:pt>
                <c:pt idx="8">
                  <c:v>0.59401765970058618</c:v>
                </c:pt>
                <c:pt idx="9">
                  <c:v>0.55173867006402366</c:v>
                </c:pt>
                <c:pt idx="10">
                  <c:v>0.50713393625728731</c:v>
                </c:pt>
                <c:pt idx="11">
                  <c:v>0.46119039451034616</c:v>
                </c:pt>
                <c:pt idx="12">
                  <c:v>0.41487386149962813</c:v>
                </c:pt>
                <c:pt idx="13">
                  <c:v>0.36909509936968909</c:v>
                </c:pt>
                <c:pt idx="14">
                  <c:v>0.32467927662674989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60-4788-9110-E2AD66D0A7D1}"/>
            </c:ext>
          </c:extLst>
        </c:ser>
        <c:ser>
          <c:idx val="14"/>
          <c:order val="14"/>
          <c:tx>
            <c:strRef>
              <c:f>'1550S40km'!$AT$39:$AT$40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'1550S40km'!$AT$43:$AT$57</c:f>
              <c:numCache>
                <c:formatCode>0%</c:formatCode>
                <c:ptCount val="15"/>
                <c:pt idx="0">
                  <c:v>0.32467927662675011</c:v>
                </c:pt>
                <c:pt idx="1">
                  <c:v>0.36909509936968954</c:v>
                </c:pt>
                <c:pt idx="2">
                  <c:v>0.41487386149962813</c:v>
                </c:pt>
                <c:pt idx="3">
                  <c:v>0.46119039451034638</c:v>
                </c:pt>
                <c:pt idx="4">
                  <c:v>0.50713393625728753</c:v>
                </c:pt>
                <c:pt idx="5">
                  <c:v>0.55173867006402388</c:v>
                </c:pt>
                <c:pt idx="6">
                  <c:v>0.59401765970058618</c:v>
                </c:pt>
                <c:pt idx="7">
                  <c:v>0.63299823735981553</c:v>
                </c:pt>
                <c:pt idx="8">
                  <c:v>0.6677569407862336</c:v>
                </c:pt>
                <c:pt idx="9">
                  <c:v>0.69745230333925656</c:v>
                </c:pt>
                <c:pt idx="10">
                  <c:v>0.72135412530748311</c:v>
                </c:pt>
                <c:pt idx="11">
                  <c:v>0.73886823077518349</c:v>
                </c:pt>
                <c:pt idx="12">
                  <c:v>0.74955607614128672</c:v>
                </c:pt>
                <c:pt idx="13">
                  <c:v>0.75314887156428711</c:v>
                </c:pt>
                <c:pt idx="14">
                  <c:v>0.74955607614128672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60-4788-9110-E2AD66D0A7D1}"/>
            </c:ext>
          </c:extLst>
        </c:ser>
        <c:ser>
          <c:idx val="15"/>
          <c:order val="15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'1550S40km'!$AL$55:$AL$69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'1550S40km'!$AW$55:$AW$69</c:f>
              <c:numCache>
                <c:formatCode>0%</c:formatCode>
                <c:ptCount val="15"/>
                <c:pt idx="0">
                  <c:v>0.25044392385871328</c:v>
                </c:pt>
                <c:pt idx="1">
                  <c:v>0.24685112843571289</c:v>
                </c:pt>
                <c:pt idx="2">
                  <c:v>0.25044392385871328</c:v>
                </c:pt>
                <c:pt idx="3">
                  <c:v>0.26113176922481651</c:v>
                </c:pt>
                <c:pt idx="4">
                  <c:v>0.27864587469251667</c:v>
                </c:pt>
                <c:pt idx="5">
                  <c:v>0.30254769666074344</c:v>
                </c:pt>
                <c:pt idx="6">
                  <c:v>0.3322430592137664</c:v>
                </c:pt>
                <c:pt idx="7">
                  <c:v>0.36700176264018447</c:v>
                </c:pt>
                <c:pt idx="8">
                  <c:v>0.40598234029941382</c:v>
                </c:pt>
                <c:pt idx="9">
                  <c:v>0.44826132993597634</c:v>
                </c:pt>
                <c:pt idx="10">
                  <c:v>0.49286606374271269</c:v>
                </c:pt>
                <c:pt idx="11">
                  <c:v>0.53880960548965384</c:v>
                </c:pt>
                <c:pt idx="12">
                  <c:v>0.58512613850037187</c:v>
                </c:pt>
                <c:pt idx="13">
                  <c:v>0.63090490063031091</c:v>
                </c:pt>
                <c:pt idx="14">
                  <c:v>0.67532072337325011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60-4788-9110-E2AD66D0A7D1}"/>
            </c:ext>
          </c:extLst>
        </c:ser>
        <c:ser>
          <c:idx val="16"/>
          <c:order val="16"/>
          <c:tx>
            <c:strRef>
              <c:f>'1550S40km'!$AW$39:$AW$40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'1550S40km'!$AM$43:$AM$57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'1550S40km'!$AW$43:$AW$57</c:f>
              <c:numCache>
                <c:formatCode>0%</c:formatCode>
                <c:ptCount val="15"/>
                <c:pt idx="0">
                  <c:v>0.67532072337324989</c:v>
                </c:pt>
                <c:pt idx="1">
                  <c:v>0.63090490063031046</c:v>
                </c:pt>
                <c:pt idx="2">
                  <c:v>0.58512613850037187</c:v>
                </c:pt>
                <c:pt idx="3">
                  <c:v>0.53880960548965362</c:v>
                </c:pt>
                <c:pt idx="4">
                  <c:v>0.49286606374271247</c:v>
                </c:pt>
                <c:pt idx="5">
                  <c:v>0.44826132993597612</c:v>
                </c:pt>
                <c:pt idx="6">
                  <c:v>0.40598234029941382</c:v>
                </c:pt>
                <c:pt idx="7">
                  <c:v>0.36700176264018447</c:v>
                </c:pt>
                <c:pt idx="8">
                  <c:v>0.3322430592137664</c:v>
                </c:pt>
                <c:pt idx="9">
                  <c:v>0.30254769666074344</c:v>
                </c:pt>
                <c:pt idx="10">
                  <c:v>0.27864587469251689</c:v>
                </c:pt>
                <c:pt idx="11">
                  <c:v>0.26113176922481651</c:v>
                </c:pt>
                <c:pt idx="12">
                  <c:v>0.25044392385871328</c:v>
                </c:pt>
                <c:pt idx="13">
                  <c:v>0.24685112843571289</c:v>
                </c:pt>
                <c:pt idx="14">
                  <c:v>0.25044392385871328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60-4788-9110-E2AD66D0A7D1}"/>
            </c:ext>
          </c:extLst>
        </c:ser>
        <c:ser>
          <c:idx val="17"/>
          <c:order val="17"/>
          <c:tx>
            <c:strRef>
              <c:f>'1550S40km'!$AI$8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'1550S40km'!$AJ$8:$AJ$9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'1550S40km'!$AK$8:$AK$9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60-4788-9110-E2AD66D0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19375"/>
        <c:axId val="1"/>
      </c:scatterChart>
      <c:valAx>
        <c:axId val="823019375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193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'850S62_200'!$B$15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'850S62_200'!$B$18:$B$38</c:f>
              <c:numCache>
                <c:formatCode>0.00</c:formatCode>
                <c:ptCount val="21"/>
                <c:pt idx="0">
                  <c:v>8.9271094009832214E-2</c:v>
                </c:pt>
                <c:pt idx="1">
                  <c:v>9.315244592330317E-2</c:v>
                </c:pt>
                <c:pt idx="2">
                  <c:v>9.7033797836774155E-2</c:v>
                </c:pt>
                <c:pt idx="3">
                  <c:v>0.10091514975024511</c:v>
                </c:pt>
                <c:pt idx="4">
                  <c:v>0.10479650166371608</c:v>
                </c:pt>
                <c:pt idx="5">
                  <c:v>0.10867785357718705</c:v>
                </c:pt>
                <c:pt idx="6">
                  <c:v>0.11255920549065802</c:v>
                </c:pt>
                <c:pt idx="7">
                  <c:v>0.11644055740412898</c:v>
                </c:pt>
                <c:pt idx="8">
                  <c:v>0.12032190931759998</c:v>
                </c:pt>
                <c:pt idx="9">
                  <c:v>0.12420326123107094</c:v>
                </c:pt>
                <c:pt idx="10">
                  <c:v>0.12808461314454189</c:v>
                </c:pt>
                <c:pt idx="11">
                  <c:v>0.13196596505801286</c:v>
                </c:pt>
                <c:pt idx="12">
                  <c:v>0.13584731697148383</c:v>
                </c:pt>
                <c:pt idx="13">
                  <c:v>0.1397286688849548</c:v>
                </c:pt>
                <c:pt idx="14">
                  <c:v>0.14361002079842577</c:v>
                </c:pt>
                <c:pt idx="15">
                  <c:v>0.14749137271189672</c:v>
                </c:pt>
                <c:pt idx="16">
                  <c:v>0.15137272462536772</c:v>
                </c:pt>
                <c:pt idx="17">
                  <c:v>0.15525407653883869</c:v>
                </c:pt>
                <c:pt idx="18">
                  <c:v>0.15913542845230963</c:v>
                </c:pt>
                <c:pt idx="19">
                  <c:v>0.16301678036578063</c:v>
                </c:pt>
                <c:pt idx="20">
                  <c:v>0.1668981322792516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C-4D65-9DD1-D133AFD53CCD}"/>
            </c:ext>
          </c:extLst>
        </c:ser>
        <c:ser>
          <c:idx val="0"/>
          <c:order val="1"/>
          <c:tx>
            <c:strRef>
              <c:f>'850S62_200'!$J$14:$J$15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'850S62_200'!$J$18:$J$38</c:f>
              <c:numCache>
                <c:formatCode>0.00</c:formatCode>
                <c:ptCount val="21"/>
                <c:pt idx="0">
                  <c:v>2.0129106466699</c:v>
                </c:pt>
                <c:pt idx="1">
                  <c:v>2.1232939199539418</c:v>
                </c:pt>
                <c:pt idx="2">
                  <c:v>2.2386725383765431</c:v>
                </c:pt>
                <c:pt idx="3">
                  <c:v>2.3590673999031373</c:v>
                </c:pt>
                <c:pt idx="4">
                  <c:v>2.4845081576283352</c:v>
                </c:pt>
                <c:pt idx="5">
                  <c:v>2.6150352667898655</c:v>
                </c:pt>
                <c:pt idx="6">
                  <c:v>2.7507020876943211</c:v>
                </c:pt>
                <c:pt idx="7">
                  <c:v>2.8915770638798599</c:v>
                </c:pt>
                <c:pt idx="8">
                  <c:v>3.0377460042473685</c:v>
                </c:pt>
                <c:pt idx="9">
                  <c:v>3.1893145076413782</c:v>
                </c:pt>
                <c:pt idx="10">
                  <c:v>3.3464105788565393</c:v>
                </c:pt>
                <c:pt idx="11">
                  <c:v>3.5091874968251395</c:v>
                </c:pt>
                <c:pt idx="12">
                  <c:v>3.6778270095073684</c:v>
                </c:pt>
                <c:pt idx="13">
                  <c:v>3.8525429466681111</c:v>
                </c:pt>
                <c:pt idx="14">
                  <c:v>4.0335853624654083</c:v>
                </c:pt>
                <c:pt idx="15">
                  <c:v>4.2212453461659907</c:v>
                </c:pt>
                <c:pt idx="16">
                  <c:v>4.4158606734557324</c:v>
                </c:pt>
                <c:pt idx="17">
                  <c:v>4.6178225156254724</c:v>
                </c:pt>
                <c:pt idx="18">
                  <c:v>4.8275834834279552</c:v>
                </c:pt>
                <c:pt idx="19">
                  <c:v>5.0456673623475314</c:v>
                </c:pt>
                <c:pt idx="20">
                  <c:v>5.2726810046516146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C-4D65-9DD1-D133AFD53CCD}"/>
            </c:ext>
          </c:extLst>
        </c:ser>
        <c:ser>
          <c:idx val="6"/>
          <c:order val="2"/>
          <c:tx>
            <c:strRef>
              <c:f>'850S62_200'!$L$14:$L$15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C-4D65-9DD1-D133AFD53CCD}"/>
            </c:ext>
          </c:extLst>
        </c:ser>
        <c:ser>
          <c:idx val="3"/>
          <c:order val="3"/>
          <c:tx>
            <c:strRef>
              <c:f>'850S62_200'!$R$15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'850S62_200'!$R$18:$R$38</c:f>
              <c:numCache>
                <c:formatCode>0.00</c:formatCode>
                <c:ptCount val="21"/>
                <c:pt idx="0">
                  <c:v>0.13794710093475185</c:v>
                </c:pt>
                <c:pt idx="1">
                  <c:v>0.14120443116470013</c:v>
                </c:pt>
                <c:pt idx="2">
                  <c:v>0.14494598704198836</c:v>
                </c:pt>
                <c:pt idx="3">
                  <c:v>0.14921131947091698</c:v>
                </c:pt>
                <c:pt idx="4">
                  <c:v>0.15404610042380257</c:v>
                </c:pt>
                <c:pt idx="5">
                  <c:v>0.15950329302984315</c:v>
                </c:pt>
                <c:pt idx="6">
                  <c:v>0.16564453611720525</c:v>
                </c:pt>
                <c:pt idx="7">
                  <c:v>0.17254180682717513</c:v>
                </c:pt>
                <c:pt idx="8">
                  <c:v>0.18027944222874609</c:v>
                </c:pt>
                <c:pt idx="9">
                  <c:v>0.1889566244894246</c:v>
                </c:pt>
                <c:pt idx="10">
                  <c:v>0.19869046662876649</c:v>
                </c:pt>
                <c:pt idx="11">
                  <c:v>0.20961988087348415</c:v>
                </c:pt>
                <c:pt idx="12">
                  <c:v>0.22191047459276039</c:v>
                </c:pt>
                <c:pt idx="13">
                  <c:v>0.23576080791171794</c:v>
                </c:pt>
                <c:pt idx="14">
                  <c:v>0.25141047490901858</c:v>
                </c:pt>
                <c:pt idx="15">
                  <c:v>0.26915065630809404</c:v>
                </c:pt>
                <c:pt idx="16">
                  <c:v>0.28933806673781326</c:v>
                </c:pt>
                <c:pt idx="17">
                  <c:v>0.31241363419057117</c:v>
                </c:pt>
                <c:pt idx="18">
                  <c:v>0.33892788664876894</c:v>
                </c:pt>
                <c:pt idx="19">
                  <c:v>0.3695760231884449</c:v>
                </c:pt>
                <c:pt idx="20">
                  <c:v>0.40524726391165272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C-4D65-9DD1-D133AFD53CCD}"/>
            </c:ext>
          </c:extLst>
        </c:ser>
        <c:ser>
          <c:idx val="5"/>
          <c:order val="4"/>
          <c:tx>
            <c:strRef>
              <c:f>'850S62_200'!$N$14:$N$15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C-4D65-9DD1-D133AFD53CCD}"/>
            </c:ext>
          </c:extLst>
        </c:ser>
        <c:ser>
          <c:idx val="2"/>
          <c:order val="5"/>
          <c:tx>
            <c:strRef>
              <c:f>'850S62_200'!$Q$15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'850S62_200'!$Q$18:$Q$38</c:f>
              <c:numCache>
                <c:formatCode>0.00</c:formatCode>
                <c:ptCount val="21"/>
                <c:pt idx="0">
                  <c:v>2.71251836255722E-6</c:v>
                </c:pt>
                <c:pt idx="1">
                  <c:v>3.215714347753734E-6</c:v>
                </c:pt>
                <c:pt idx="2">
                  <c:v>3.7858418014890418E-6</c:v>
                </c:pt>
                <c:pt idx="3">
                  <c:v>4.4285803470263328E-6</c:v>
                </c:pt>
                <c:pt idx="4">
                  <c:v>5.1498393438388755E-6</c:v>
                </c:pt>
                <c:pt idx="5">
                  <c:v>5.9557576405070715E-6</c:v>
                </c:pt>
                <c:pt idx="6">
                  <c:v>6.8527033168622789E-6</c:v>
                </c:pt>
                <c:pt idx="7">
                  <c:v>7.8472734163304745E-6</c:v>
                </c:pt>
                <c:pt idx="8">
                  <c:v>8.9462936703928102E-6</c:v>
                </c:pt>
                <c:pt idx="9">
                  <c:v>1.0156818209365035E-5</c:v>
                </c:pt>
                <c:pt idx="10">
                  <c:v>1.148612927201965E-5</c:v>
                </c:pt>
                <c:pt idx="11">
                  <c:v>1.2941736896680091E-5</c:v>
                </c:pt>
                <c:pt idx="12">
                  <c:v>1.4531378608238651E-5</c:v>
                </c:pt>
                <c:pt idx="13">
                  <c:v>1.6263019096262948E-5</c:v>
                </c:pt>
                <c:pt idx="14">
                  <c:v>1.8144849884176941E-5</c:v>
                </c:pt>
                <c:pt idx="15">
                  <c:v>2.0185288983716308E-5</c:v>
                </c:pt>
                <c:pt idx="16">
                  <c:v>2.2392980548143934E-5</c:v>
                </c:pt>
                <c:pt idx="17">
                  <c:v>2.4776794511674274E-5</c:v>
                </c:pt>
                <c:pt idx="18">
                  <c:v>2.7345826222805792E-5</c:v>
                </c:pt>
                <c:pt idx="19">
                  <c:v>3.0109396063831013E-5</c:v>
                </c:pt>
                <c:pt idx="20">
                  <c:v>3.3077049069044287E-5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4C-4D65-9DD1-D133AFD53CCD}"/>
            </c:ext>
          </c:extLst>
        </c:ser>
        <c:ser>
          <c:idx val="4"/>
          <c:order val="6"/>
          <c:tx>
            <c:strRef>
              <c:f>'850S62_200'!$S$14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'850S62_200'!$S$18:$S$38</c:f>
              <c:numCache>
                <c:formatCode>0.00</c:formatCode>
                <c:ptCount val="21"/>
                <c:pt idx="0">
                  <c:v>0.14241936162153571</c:v>
                </c:pt>
                <c:pt idx="1">
                  <c:v>0.15422418408541574</c:v>
                </c:pt>
                <c:pt idx="2">
                  <c:v>0.16736719052275575</c:v>
                </c:pt>
                <c:pt idx="3">
                  <c:v>0.18202044204518877</c:v>
                </c:pt>
                <c:pt idx="4">
                  <c:v>0.1983863677866867</c:v>
                </c:pt>
                <c:pt idx="5">
                  <c:v>0.21670456536351038</c:v>
                </c:pt>
                <c:pt idx="6">
                  <c:v>0.23726049425548254</c:v>
                </c:pt>
                <c:pt idx="7">
                  <c:v>0.2603967116720316</c:v>
                </c:pt>
                <c:pt idx="8">
                  <c:v>0.28652756953465841</c:v>
                </c:pt>
                <c:pt idx="9">
                  <c:v>0.31615869371530514</c:v>
                </c:pt>
                <c:pt idx="10">
                  <c:v>0.34991318118459469</c:v>
                </c:pt>
                <c:pt idx="11">
                  <c:v>0.38856741042178</c:v>
                </c:pt>
                <c:pt idx="12">
                  <c:v>0.43310089776913085</c:v>
                </c:pt>
                <c:pt idx="13">
                  <c:v>0.48476716668273079</c:v>
                </c:pt>
                <c:pt idx="14">
                  <c:v>0.5451969131705845</c:v>
                </c:pt>
                <c:pt idx="15">
                  <c:v>0.61655238342222407</c:v>
                </c:pt>
                <c:pt idx="16">
                  <c:v>0.70176597901944193</c:v>
                </c:pt>
                <c:pt idx="17">
                  <c:v>0.80492352543605528</c:v>
                </c:pt>
                <c:pt idx="18">
                  <c:v>0.93190935946912334</c:v>
                </c:pt>
                <c:pt idx="19">
                  <c:v>1.0915569167438626</c:v>
                </c:pt>
                <c:pt idx="20">
                  <c:v>1.2978588119996886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4C-4D65-9DD1-D133AFD53CCD}"/>
            </c:ext>
          </c:extLst>
        </c:ser>
        <c:ser>
          <c:idx val="8"/>
          <c:order val="7"/>
          <c:tx>
            <c:strRef>
              <c:f>'850S62_200'!$T$14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'850S62_200'!$T$18:$T$38</c:f>
              <c:numCache>
                <c:formatCode>0.0</c:formatCode>
                <c:ptCount val="21"/>
                <c:pt idx="0">
                  <c:v>2.5325509157543817</c:v>
                </c:pt>
                <c:pt idx="1">
                  <c:v>2.6618781968417085</c:v>
                </c:pt>
                <c:pt idx="2">
                  <c:v>2.7980232996198628</c:v>
                </c:pt>
                <c:pt idx="3">
                  <c:v>2.9412187397498353</c:v>
                </c:pt>
                <c:pt idx="4">
                  <c:v>3.0917422773418846</c:v>
                </c:pt>
                <c:pt idx="5">
                  <c:v>3.2499269345180459</c:v>
                </c:pt>
                <c:pt idx="6">
                  <c:v>3.4161731762609833</c:v>
                </c:pt>
                <c:pt idx="7">
                  <c:v>3.5909639870566119</c:v>
                </c:pt>
                <c:pt idx="8">
                  <c:v>3.7748838716220434</c:v>
                </c:pt>
                <c:pt idx="9">
                  <c:v>3.968643243895388</c:v>
                </c:pt>
                <c:pt idx="10">
                  <c:v>4.1731103259437141</c:v>
                </c:pt>
                <c:pt idx="11">
                  <c:v>4.3893536949153136</c:v>
                </c:pt>
                <c:pt idx="12">
                  <c:v>4.6187002302193516</c:v>
                </c:pt>
                <c:pt idx="13">
                  <c:v>4.8628158531666115</c:v>
                </c:pt>
                <c:pt idx="14">
                  <c:v>5.1238209161933215</c:v>
                </c:pt>
                <c:pt idx="15">
                  <c:v>5.404459943897189</c:v>
                </c:pt>
                <c:pt idx="16">
                  <c:v>5.7083598368189037</c:v>
                </c:pt>
                <c:pt idx="17">
                  <c:v>6.0404385285854501</c:v>
                </c:pt>
                <c:pt idx="18">
                  <c:v>6.4075835038243794</c:v>
                </c:pt>
                <c:pt idx="19">
                  <c:v>6.8198471920416841</c:v>
                </c:pt>
                <c:pt idx="20">
                  <c:v>7.2927182898912761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4C-4D65-9DD1-D133AFD53CCD}"/>
            </c:ext>
          </c:extLst>
        </c:ser>
        <c:ser>
          <c:idx val="7"/>
          <c:order val="8"/>
          <c:tx>
            <c:strRef>
              <c:f>'850S62_200'!$AL$15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'850S62_200'!$AL$18:$AL$38</c:f>
              <c:numCache>
                <c:formatCode>General</c:formatCode>
                <c:ptCount val="21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4C-4D65-9DD1-D133AFD53CCD}"/>
            </c:ext>
          </c:extLst>
        </c:ser>
        <c:ser>
          <c:idx val="9"/>
          <c:order val="9"/>
          <c:tx>
            <c:strRef>
              <c:f>'850S62_200'!$AN$16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'850S62_200'!$AM$18:$AM$38</c:f>
              <c:numCache>
                <c:formatCode>General</c:formatCode>
                <c:ptCount val="21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3.3000000000000002E-2</c:v>
                </c:pt>
              </c:numCache>
            </c:numRef>
          </c:xVal>
          <c:yVal>
            <c:numRef>
              <c:f>'850S62_200'!$AN$18:$AN$38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4C-4D65-9DD1-D133AFD53CCD}"/>
            </c:ext>
          </c:extLst>
        </c:ser>
        <c:ser>
          <c:idx val="10"/>
          <c:order val="10"/>
          <c:tx>
            <c:strRef>
              <c:f>'850S62_200'!$M$14:$M$15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'850S62_200'!$A$18:$A$38</c:f>
              <c:numCache>
                <c:formatCode>0.00#</c:formatCode>
                <c:ptCount val="21"/>
                <c:pt idx="0">
                  <c:v>2.3E-2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2.6000000000000002E-2</c:v>
                </c:pt>
                <c:pt idx="4">
                  <c:v>2.7000000000000003E-2</c:v>
                </c:pt>
                <c:pt idx="5">
                  <c:v>2.8000000000000004E-2</c:v>
                </c:pt>
                <c:pt idx="6">
                  <c:v>2.9000000000000005E-2</c:v>
                </c:pt>
                <c:pt idx="7">
                  <c:v>3.0000000000000006E-2</c:v>
                </c:pt>
                <c:pt idx="8">
                  <c:v>3.1000000000000007E-2</c:v>
                </c:pt>
                <c:pt idx="9">
                  <c:v>3.2000000000000008E-2</c:v>
                </c:pt>
                <c:pt idx="10">
                  <c:v>3.3000000000000008E-2</c:v>
                </c:pt>
                <c:pt idx="11">
                  <c:v>3.4000000000000009E-2</c:v>
                </c:pt>
                <c:pt idx="12">
                  <c:v>3.500000000000001E-2</c:v>
                </c:pt>
                <c:pt idx="13">
                  <c:v>3.6000000000000011E-2</c:v>
                </c:pt>
                <c:pt idx="14">
                  <c:v>3.7000000000000012E-2</c:v>
                </c:pt>
                <c:pt idx="15">
                  <c:v>3.8000000000000013E-2</c:v>
                </c:pt>
                <c:pt idx="16">
                  <c:v>3.9000000000000014E-2</c:v>
                </c:pt>
                <c:pt idx="17">
                  <c:v>4.0000000000000015E-2</c:v>
                </c:pt>
                <c:pt idx="18">
                  <c:v>4.1000000000000016E-2</c:v>
                </c:pt>
                <c:pt idx="19">
                  <c:v>4.2000000000000016E-2</c:v>
                </c:pt>
                <c:pt idx="20">
                  <c:v>4.3000000000000017E-2</c:v>
                </c:pt>
              </c:numCache>
            </c:numRef>
          </c:xVal>
          <c:yVal>
            <c:numRef>
              <c:f>'850S62_200'!$M$18:$M$38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4C-4D65-9DD1-D133AFD5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2495"/>
        <c:axId val="1"/>
      </c:scatterChart>
      <c:valAx>
        <c:axId val="946832495"/>
        <c:scaling>
          <c:orientation val="minMax"/>
          <c:min val="0.0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249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4728-9D0C-C44CF5314912}"/>
            </c:ext>
          </c:extLst>
        </c:ser>
        <c:ser>
          <c:idx val="1"/>
          <c:order val="1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8-4728-9D0C-C44CF5314912}"/>
            </c:ext>
          </c:extLst>
        </c:ser>
        <c:ser>
          <c:idx val="2"/>
          <c:order val="2"/>
          <c:tx>
            <c:strRef>
              <c:f>'850S62_200'!$AD$40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'850S62_200'!$AD$41:$AD$71</c:f>
              <c:numCache>
                <c:formatCode>0%</c:formatCode>
                <c:ptCount val="31"/>
                <c:pt idx="0">
                  <c:v>0.14859236844567791</c:v>
                </c:pt>
                <c:pt idx="1">
                  <c:v>0.19418810978277212</c:v>
                </c:pt>
                <c:pt idx="2">
                  <c:v>0.24741652483947413</c:v>
                </c:pt>
                <c:pt idx="3">
                  <c:v>0.30758117716546146</c:v>
                </c:pt>
                <c:pt idx="4">
                  <c:v>0.37342543795016492</c:v>
                </c:pt>
                <c:pt idx="5">
                  <c:v>0.44319613961667625</c:v>
                </c:pt>
                <c:pt idx="6">
                  <c:v>0.51477864775033988</c:v>
                </c:pt>
                <c:pt idx="7">
                  <c:v>0.58588679966309964</c:v>
                </c:pt>
                <c:pt idx="8">
                  <c:v>0.6542796227308465</c:v>
                </c:pt>
                <c:pt idx="9">
                  <c:v>0.71797095356592577</c:v>
                </c:pt>
                <c:pt idx="10">
                  <c:v>0.77539962400894735</c:v>
                </c:pt>
                <c:pt idx="11">
                  <c:v>0.82553633409629545</c:v>
                </c:pt>
                <c:pt idx="12">
                  <c:v>0.86791638942642813</c:v>
                </c:pt>
                <c:pt idx="13">
                  <c:v>0.90260171708210535</c:v>
                </c:pt>
                <c:pt idx="14">
                  <c:v>0.9300875343131475</c:v>
                </c:pt>
                <c:pt idx="15">
                  <c:v>0.95117624600647743</c:v>
                </c:pt>
                <c:pt idx="16">
                  <c:v>0.96684267284376679</c:v>
                </c:pt>
                <c:pt idx="17">
                  <c:v>0.97811123057520111</c:v>
                </c:pt>
                <c:pt idx="18">
                  <c:v>0.98595898034629548</c:v>
                </c:pt>
                <c:pt idx="19">
                  <c:v>0.99125074291060711</c:v>
                </c:pt>
                <c:pt idx="20">
                  <c:v>0.99470563028463466</c:v>
                </c:pt>
                <c:pt idx="21">
                  <c:v>0.99688959556336743</c:v>
                </c:pt>
                <c:pt idx="22">
                  <c:v>0.9982263012629804</c:v>
                </c:pt>
                <c:pt idx="23">
                  <c:v>0.99901844509718585</c:v>
                </c:pt>
                <c:pt idx="24">
                  <c:v>0.99947296238406103</c:v>
                </c:pt>
                <c:pt idx="25">
                  <c:v>0.99972547019197955</c:v>
                </c:pt>
                <c:pt idx="26">
                  <c:v>0.99986129440402172</c:v>
                </c:pt>
                <c:pt idx="27">
                  <c:v>0.99993203317000612</c:v>
                </c:pt>
                <c:pt idx="28">
                  <c:v>0.99996770419508241</c:v>
                </c:pt>
                <c:pt idx="29">
                  <c:v>0.99998512031652909</c:v>
                </c:pt>
                <c:pt idx="30">
                  <c:v>0.99999335344626394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8-4728-9D0C-C44CF5314912}"/>
            </c:ext>
          </c:extLst>
        </c:ser>
        <c:ser>
          <c:idx val="3"/>
          <c:order val="3"/>
          <c:tx>
            <c:strRef>
              <c:f>'850S62_200'!$AE$40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'850S62_200'!$AE$41:$AE$71</c:f>
              <c:numCache>
                <c:formatCode>0%</c:formatCode>
                <c:ptCount val="31"/>
                <c:pt idx="0">
                  <c:v>0.99999335344626394</c:v>
                </c:pt>
                <c:pt idx="1">
                  <c:v>0.99998512031652909</c:v>
                </c:pt>
                <c:pt idx="2">
                  <c:v>0.99996770419508241</c:v>
                </c:pt>
                <c:pt idx="3">
                  <c:v>0.99993203317000612</c:v>
                </c:pt>
                <c:pt idx="4">
                  <c:v>0.99986129440402172</c:v>
                </c:pt>
                <c:pt idx="5">
                  <c:v>0.99972547019197955</c:v>
                </c:pt>
                <c:pt idx="6">
                  <c:v>0.99947296238406103</c:v>
                </c:pt>
                <c:pt idx="7">
                  <c:v>0.99901844509718585</c:v>
                </c:pt>
                <c:pt idx="8">
                  <c:v>0.9982263012629804</c:v>
                </c:pt>
                <c:pt idx="9">
                  <c:v>0.99688959556336743</c:v>
                </c:pt>
                <c:pt idx="10">
                  <c:v>0.99470563028463466</c:v>
                </c:pt>
                <c:pt idx="11">
                  <c:v>0.991250742910607</c:v>
                </c:pt>
                <c:pt idx="12">
                  <c:v>0.98595898034629548</c:v>
                </c:pt>
                <c:pt idx="13">
                  <c:v>0.97811123057520111</c:v>
                </c:pt>
                <c:pt idx="14">
                  <c:v>0.96684267284376679</c:v>
                </c:pt>
                <c:pt idx="15">
                  <c:v>0.95117624600647743</c:v>
                </c:pt>
                <c:pt idx="16">
                  <c:v>0.93008753431314761</c:v>
                </c:pt>
                <c:pt idx="17">
                  <c:v>0.90260171708210546</c:v>
                </c:pt>
                <c:pt idx="18">
                  <c:v>0.86791638942642813</c:v>
                </c:pt>
                <c:pt idx="19">
                  <c:v>0.82553633409629534</c:v>
                </c:pt>
                <c:pt idx="20">
                  <c:v>0.77539962400894713</c:v>
                </c:pt>
                <c:pt idx="21">
                  <c:v>0.71797095356592555</c:v>
                </c:pt>
                <c:pt idx="22">
                  <c:v>0.65427962273084628</c:v>
                </c:pt>
                <c:pt idx="23">
                  <c:v>0.58588679966309931</c:v>
                </c:pt>
                <c:pt idx="24">
                  <c:v>0.51477864775033944</c:v>
                </c:pt>
                <c:pt idx="25">
                  <c:v>0.44319613961667598</c:v>
                </c:pt>
                <c:pt idx="26">
                  <c:v>0.37342543795016464</c:v>
                </c:pt>
                <c:pt idx="27">
                  <c:v>0.30758117716546102</c:v>
                </c:pt>
                <c:pt idx="28">
                  <c:v>0.24741652483947368</c:v>
                </c:pt>
                <c:pt idx="29">
                  <c:v>0.1941881097827719</c:v>
                </c:pt>
                <c:pt idx="30">
                  <c:v>0.14859236844567747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8-4728-9D0C-C44CF5314912}"/>
            </c:ext>
          </c:extLst>
        </c:ser>
        <c:ser>
          <c:idx val="4"/>
          <c:order val="4"/>
          <c:tx>
            <c:strRef>
              <c:f>'850S62_200'!$AF$40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8-4728-9D0C-C44CF5314912}"/>
            </c:ext>
          </c:extLst>
        </c:ser>
        <c:ser>
          <c:idx val="5"/>
          <c:order val="5"/>
          <c:tx>
            <c:strRef>
              <c:f>'850S62_200'!$AG$40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'850S62_200'!$AG$41:$AG$71</c:f>
              <c:numCache>
                <c:formatCode>0%</c:formatCode>
                <c:ptCount val="31"/>
                <c:pt idx="0">
                  <c:v>0.85140763155432209</c:v>
                </c:pt>
                <c:pt idx="1">
                  <c:v>0.80581189021722788</c:v>
                </c:pt>
                <c:pt idx="2">
                  <c:v>0.75258347516052582</c:v>
                </c:pt>
                <c:pt idx="3">
                  <c:v>0.69241882283453848</c:v>
                </c:pt>
                <c:pt idx="4">
                  <c:v>0.62657456204983508</c:v>
                </c:pt>
                <c:pt idx="5">
                  <c:v>0.55680386038332375</c:v>
                </c:pt>
                <c:pt idx="6">
                  <c:v>0.48522135224966012</c:v>
                </c:pt>
                <c:pt idx="7">
                  <c:v>0.41411320033690036</c:v>
                </c:pt>
                <c:pt idx="8">
                  <c:v>0.3457203772691535</c:v>
                </c:pt>
                <c:pt idx="9">
                  <c:v>0.28202904643407423</c:v>
                </c:pt>
                <c:pt idx="10">
                  <c:v>0.22460037599105265</c:v>
                </c:pt>
                <c:pt idx="11">
                  <c:v>0.17446366590370455</c:v>
                </c:pt>
                <c:pt idx="12">
                  <c:v>0.13208361057357187</c:v>
                </c:pt>
                <c:pt idx="13">
                  <c:v>9.7398282917894652E-2</c:v>
                </c:pt>
                <c:pt idx="14">
                  <c:v>6.9912465686852499E-2</c:v>
                </c:pt>
                <c:pt idx="15">
                  <c:v>4.8823753993522567E-2</c:v>
                </c:pt>
                <c:pt idx="16">
                  <c:v>3.3157327156233207E-2</c:v>
                </c:pt>
                <c:pt idx="17">
                  <c:v>2.1888769424798893E-2</c:v>
                </c:pt>
                <c:pt idx="18">
                  <c:v>1.4041019653704523E-2</c:v>
                </c:pt>
                <c:pt idx="19">
                  <c:v>8.7492570893928923E-3</c:v>
                </c:pt>
                <c:pt idx="20">
                  <c:v>5.2943697153653435E-3</c:v>
                </c:pt>
                <c:pt idx="21">
                  <c:v>3.1104044366325745E-3</c:v>
                </c:pt>
                <c:pt idx="22">
                  <c:v>1.7736987370196022E-3</c:v>
                </c:pt>
                <c:pt idx="23">
                  <c:v>9.8155490281415236E-4</c:v>
                </c:pt>
                <c:pt idx="24">
                  <c:v>5.2703761593897447E-4</c:v>
                </c:pt>
                <c:pt idx="25">
                  <c:v>2.7452980802045168E-4</c:v>
                </c:pt>
                <c:pt idx="26">
                  <c:v>1.3870559597828347E-4</c:v>
                </c:pt>
                <c:pt idx="27">
                  <c:v>6.7966829993881817E-5</c:v>
                </c:pt>
                <c:pt idx="28">
                  <c:v>3.2295804917592541E-5</c:v>
                </c:pt>
                <c:pt idx="29">
                  <c:v>1.4879683470914173E-5</c:v>
                </c:pt>
                <c:pt idx="30">
                  <c:v>6.6465537360560489E-6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48-4728-9D0C-C44CF5314912}"/>
            </c:ext>
          </c:extLst>
        </c:ser>
        <c:ser>
          <c:idx val="6"/>
          <c:order val="6"/>
          <c:tx>
            <c:strRef>
              <c:f>'850S62_200'!$AH$40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'850S62_200'!$AH$41:$AH$71</c:f>
              <c:numCache>
                <c:formatCode>0%</c:formatCode>
                <c:ptCount val="31"/>
                <c:pt idx="0">
                  <c:v>6.6465537360560489E-6</c:v>
                </c:pt>
                <c:pt idx="1">
                  <c:v>1.4879683470914173E-5</c:v>
                </c:pt>
                <c:pt idx="2">
                  <c:v>3.2295804917592541E-5</c:v>
                </c:pt>
                <c:pt idx="3">
                  <c:v>6.7966829993881817E-5</c:v>
                </c:pt>
                <c:pt idx="4">
                  <c:v>1.3870559597828347E-4</c:v>
                </c:pt>
                <c:pt idx="5">
                  <c:v>2.7452980802045168E-4</c:v>
                </c:pt>
                <c:pt idx="6">
                  <c:v>5.2703761593897447E-4</c:v>
                </c:pt>
                <c:pt idx="7">
                  <c:v>9.8155490281415236E-4</c:v>
                </c:pt>
                <c:pt idx="8">
                  <c:v>1.7736987370196022E-3</c:v>
                </c:pt>
                <c:pt idx="9">
                  <c:v>3.1104044366325745E-3</c:v>
                </c:pt>
                <c:pt idx="10">
                  <c:v>5.2943697153653435E-3</c:v>
                </c:pt>
                <c:pt idx="11">
                  <c:v>8.7492570893930033E-3</c:v>
                </c:pt>
                <c:pt idx="12">
                  <c:v>1.4041019653704523E-2</c:v>
                </c:pt>
                <c:pt idx="13">
                  <c:v>2.1888769424798893E-2</c:v>
                </c:pt>
                <c:pt idx="14">
                  <c:v>3.3157327156233207E-2</c:v>
                </c:pt>
                <c:pt idx="15">
                  <c:v>4.8823753993522567E-2</c:v>
                </c:pt>
                <c:pt idx="16">
                  <c:v>6.9912465686852387E-2</c:v>
                </c:pt>
                <c:pt idx="17">
                  <c:v>9.7398282917894541E-2</c:v>
                </c:pt>
                <c:pt idx="18">
                  <c:v>0.13208361057357187</c:v>
                </c:pt>
                <c:pt idx="19">
                  <c:v>0.17446366590370466</c:v>
                </c:pt>
                <c:pt idx="20">
                  <c:v>0.22460037599105287</c:v>
                </c:pt>
                <c:pt idx="21">
                  <c:v>0.28202904643407445</c:v>
                </c:pt>
                <c:pt idx="22">
                  <c:v>0.34572037726915372</c:v>
                </c:pt>
                <c:pt idx="23">
                  <c:v>0.41411320033690069</c:v>
                </c:pt>
                <c:pt idx="24">
                  <c:v>0.48522135224966056</c:v>
                </c:pt>
                <c:pt idx="25">
                  <c:v>0.55680386038332408</c:v>
                </c:pt>
                <c:pt idx="26">
                  <c:v>0.6265745620498353</c:v>
                </c:pt>
                <c:pt idx="27">
                  <c:v>0.69241882283453893</c:v>
                </c:pt>
                <c:pt idx="28">
                  <c:v>0.75258347516052626</c:v>
                </c:pt>
                <c:pt idx="29">
                  <c:v>0.8058118902172281</c:v>
                </c:pt>
                <c:pt idx="30">
                  <c:v>0.85140763155432253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8-4728-9D0C-C44CF5314912}"/>
            </c:ext>
          </c:extLst>
        </c:ser>
        <c:ser>
          <c:idx val="7"/>
          <c:order val="7"/>
          <c:tx>
            <c:strRef>
              <c:f>'850S62_200'!$AI$40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8-4728-9D0C-C44CF5314912}"/>
            </c:ext>
          </c:extLst>
        </c:ser>
        <c:ser>
          <c:idx val="8"/>
          <c:order val="8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48-4728-9D0C-C44CF5314912}"/>
            </c:ext>
          </c:extLst>
        </c:ser>
        <c:ser>
          <c:idx val="9"/>
          <c:order val="9"/>
          <c:tx>
            <c:strRef>
              <c:f>'850S62_200'!$AO$40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'850S62_200'!$AN$41:$AN$47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'850S62_200'!$AO$41:$AO$47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48-4728-9D0C-C44CF5314912}"/>
            </c:ext>
          </c:extLst>
        </c:ser>
        <c:ser>
          <c:idx val="10"/>
          <c:order val="10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'850S62_200'!$AF$41:$AF$71</c:f>
              <c:numCache>
                <c:formatCode>0%</c:formatCode>
                <c:ptCount val="31"/>
                <c:pt idx="0">
                  <c:v>0.14858572189194197</c:v>
                </c:pt>
                <c:pt idx="1">
                  <c:v>0.1941732300993011</c:v>
                </c:pt>
                <c:pt idx="2">
                  <c:v>0.24738422903455648</c:v>
                </c:pt>
                <c:pt idx="3">
                  <c:v>0.30751321033546763</c:v>
                </c:pt>
                <c:pt idx="4">
                  <c:v>0.37328673235418663</c:v>
                </c:pt>
                <c:pt idx="5">
                  <c:v>0.44292160980865569</c:v>
                </c:pt>
                <c:pt idx="6">
                  <c:v>0.51425161013440102</c:v>
                </c:pt>
                <c:pt idx="7">
                  <c:v>0.58490524476028538</c:v>
                </c:pt>
                <c:pt idx="8">
                  <c:v>0.6525059239938269</c:v>
                </c:pt>
                <c:pt idx="9">
                  <c:v>0.7148605491292932</c:v>
                </c:pt>
                <c:pt idx="10">
                  <c:v>0.77010525429358201</c:v>
                </c:pt>
                <c:pt idx="11">
                  <c:v>0.81678707700690234</c:v>
                </c:pt>
                <c:pt idx="12">
                  <c:v>0.85387536977272349</c:v>
                </c:pt>
                <c:pt idx="13">
                  <c:v>0.88071294765730634</c:v>
                </c:pt>
                <c:pt idx="14">
                  <c:v>0.89693020715691429</c:v>
                </c:pt>
                <c:pt idx="15">
                  <c:v>0.90235249201295487</c:v>
                </c:pt>
                <c:pt idx="16">
                  <c:v>0.89693020715691452</c:v>
                </c:pt>
                <c:pt idx="17">
                  <c:v>0.88071294765730657</c:v>
                </c:pt>
                <c:pt idx="18">
                  <c:v>0.85387536977272349</c:v>
                </c:pt>
                <c:pt idx="19">
                  <c:v>0.81678707700690234</c:v>
                </c:pt>
                <c:pt idx="20">
                  <c:v>0.77010525429358179</c:v>
                </c:pt>
                <c:pt idx="21">
                  <c:v>0.71486054912929298</c:v>
                </c:pt>
                <c:pt idx="22">
                  <c:v>0.65250592399382668</c:v>
                </c:pt>
                <c:pt idx="23">
                  <c:v>0.58490524476028516</c:v>
                </c:pt>
                <c:pt idx="24">
                  <c:v>0.51425161013440057</c:v>
                </c:pt>
                <c:pt idx="25">
                  <c:v>0.44292160980865547</c:v>
                </c:pt>
                <c:pt idx="26">
                  <c:v>0.37328673235418641</c:v>
                </c:pt>
                <c:pt idx="27">
                  <c:v>0.30751321033546719</c:v>
                </c:pt>
                <c:pt idx="28">
                  <c:v>0.24738422903455604</c:v>
                </c:pt>
                <c:pt idx="29">
                  <c:v>0.1941732300993011</c:v>
                </c:pt>
                <c:pt idx="30">
                  <c:v>0.14858572189194152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48-4728-9D0C-C44CF5314912}"/>
            </c:ext>
          </c:extLst>
        </c:ser>
        <c:ser>
          <c:idx val="11"/>
          <c:order val="11"/>
          <c:tx>
            <c:strRef>
              <c:f>'850S62_200'!$AL$40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48-4728-9D0C-C44CF5314912}"/>
            </c:ext>
          </c:extLst>
        </c:ser>
        <c:ser>
          <c:idx val="12"/>
          <c:order val="12"/>
          <c:tx>
            <c:strRef>
              <c:f>'850S62_200'!$AM$40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'850S62_200'!$AM$41:$AM$71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'850S62_200'!$AI$41:$AI$71</c:f>
              <c:numCache>
                <c:formatCode>0%</c:formatCode>
                <c:ptCount val="31"/>
                <c:pt idx="0">
                  <c:v>0.85141427810805803</c:v>
                </c:pt>
                <c:pt idx="1">
                  <c:v>0.8058267699006989</c:v>
                </c:pt>
                <c:pt idx="2">
                  <c:v>0.75261577096544352</c:v>
                </c:pt>
                <c:pt idx="3">
                  <c:v>0.69248678966453237</c:v>
                </c:pt>
                <c:pt idx="4">
                  <c:v>0.62671326764581337</c:v>
                </c:pt>
                <c:pt idx="5">
                  <c:v>0.55707839019134431</c:v>
                </c:pt>
                <c:pt idx="6">
                  <c:v>0.48574838986559898</c:v>
                </c:pt>
                <c:pt idx="7">
                  <c:v>0.41509475523971462</c:v>
                </c:pt>
                <c:pt idx="8">
                  <c:v>0.3474940760061731</c:v>
                </c:pt>
                <c:pt idx="9">
                  <c:v>0.2851394508707068</c:v>
                </c:pt>
                <c:pt idx="10">
                  <c:v>0.22989474570641799</c:v>
                </c:pt>
                <c:pt idx="11">
                  <c:v>0.18321292299309766</c:v>
                </c:pt>
                <c:pt idx="12">
                  <c:v>0.14612463022727651</c:v>
                </c:pt>
                <c:pt idx="13">
                  <c:v>0.11928705234269366</c:v>
                </c:pt>
                <c:pt idx="14">
                  <c:v>0.10306979284308571</c:v>
                </c:pt>
                <c:pt idx="15">
                  <c:v>9.7647507987045135E-2</c:v>
                </c:pt>
                <c:pt idx="16">
                  <c:v>0.10306979284308548</c:v>
                </c:pt>
                <c:pt idx="17">
                  <c:v>0.11928705234269343</c:v>
                </c:pt>
                <c:pt idx="18">
                  <c:v>0.14612463022727651</c:v>
                </c:pt>
                <c:pt idx="19">
                  <c:v>0.18321292299309766</c:v>
                </c:pt>
                <c:pt idx="20">
                  <c:v>0.22989474570641821</c:v>
                </c:pt>
                <c:pt idx="21">
                  <c:v>0.28513945087070702</c:v>
                </c:pt>
                <c:pt idx="22">
                  <c:v>0.34749407600617332</c:v>
                </c:pt>
                <c:pt idx="23">
                  <c:v>0.41509475523971484</c:v>
                </c:pt>
                <c:pt idx="24">
                  <c:v>0.48574838986559943</c:v>
                </c:pt>
                <c:pt idx="25">
                  <c:v>0.55707839019134453</c:v>
                </c:pt>
                <c:pt idx="26">
                  <c:v>0.62671326764581359</c:v>
                </c:pt>
                <c:pt idx="27">
                  <c:v>0.69248678966453281</c:v>
                </c:pt>
                <c:pt idx="28">
                  <c:v>0.75261577096544396</c:v>
                </c:pt>
                <c:pt idx="29">
                  <c:v>0.8058267699006989</c:v>
                </c:pt>
                <c:pt idx="30">
                  <c:v>0.85141427810805848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48-4728-9D0C-C44CF5314912}"/>
            </c:ext>
          </c:extLst>
        </c:ser>
        <c:ser>
          <c:idx val="13"/>
          <c:order val="13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'850S62_200'!$AT$55:$AT$69</c:f>
              <c:numCache>
                <c:formatCode>0%</c:formatCode>
                <c:ptCount val="15"/>
                <c:pt idx="0">
                  <c:v>0.72793290508426178</c:v>
                </c:pt>
                <c:pt idx="1">
                  <c:v>0.73138166742982413</c:v>
                </c:pt>
                <c:pt idx="2">
                  <c:v>0.72793290508426178</c:v>
                </c:pt>
                <c:pt idx="3">
                  <c:v>0.71767475266969805</c:v>
                </c:pt>
                <c:pt idx="4">
                  <c:v>0.70086856052001223</c:v>
                </c:pt>
                <c:pt idx="5">
                  <c:v>0.67793980227400152</c:v>
                </c:pt>
                <c:pt idx="6">
                  <c:v>0.64946316055318043</c:v>
                </c:pt>
                <c:pt idx="7">
                  <c:v>0.61614218953768085</c:v>
                </c:pt>
                <c:pt idx="8">
                  <c:v>0.57878417764375945</c:v>
                </c:pt>
                <c:pt idx="9">
                  <c:v>0.53827109415914531</c:v>
                </c:pt>
                <c:pt idx="10">
                  <c:v>0.49552777793842839</c:v>
                </c:pt>
                <c:pt idx="11">
                  <c:v>0.45148877837886681</c:v>
                </c:pt>
                <c:pt idx="12">
                  <c:v>0.40706544677734913</c:v>
                </c:pt>
                <c:pt idx="13">
                  <c:v>0.36311495984418762</c:v>
                </c:pt>
                <c:pt idx="14">
                  <c:v>0.32041290733669237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48-4728-9D0C-C44CF5314912}"/>
            </c:ext>
          </c:extLst>
        </c:ser>
        <c:ser>
          <c:idx val="14"/>
          <c:order val="14"/>
          <c:tx>
            <c:strRef>
              <c:f>'850S62_200'!$AT$39:$AT$40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'850S62_200'!$AT$43:$AT$57</c:f>
              <c:numCache>
                <c:formatCode>0%</c:formatCode>
                <c:ptCount val="15"/>
                <c:pt idx="0">
                  <c:v>0.32041290733669281</c:v>
                </c:pt>
                <c:pt idx="1">
                  <c:v>0.36311495984418785</c:v>
                </c:pt>
                <c:pt idx="2">
                  <c:v>0.40706544677734913</c:v>
                </c:pt>
                <c:pt idx="3">
                  <c:v>0.45148877837886703</c:v>
                </c:pt>
                <c:pt idx="4">
                  <c:v>0.49552777793842884</c:v>
                </c:pt>
                <c:pt idx="5">
                  <c:v>0.53827109415914576</c:v>
                </c:pt>
                <c:pt idx="6">
                  <c:v>0.57878417764375967</c:v>
                </c:pt>
                <c:pt idx="7">
                  <c:v>0.61614218953768107</c:v>
                </c:pt>
                <c:pt idx="8">
                  <c:v>0.64946316055318065</c:v>
                </c:pt>
                <c:pt idx="9">
                  <c:v>0.67793980227400152</c:v>
                </c:pt>
                <c:pt idx="10">
                  <c:v>0.70086856052001223</c:v>
                </c:pt>
                <c:pt idx="11">
                  <c:v>0.71767475266969805</c:v>
                </c:pt>
                <c:pt idx="12">
                  <c:v>0.72793290508426178</c:v>
                </c:pt>
                <c:pt idx="13">
                  <c:v>0.73138166742982413</c:v>
                </c:pt>
                <c:pt idx="14">
                  <c:v>0.72793290508426178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48-4728-9D0C-C44CF5314912}"/>
            </c:ext>
          </c:extLst>
        </c:ser>
        <c:ser>
          <c:idx val="15"/>
          <c:order val="15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'850S62_200'!$AL$55:$AL$69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'850S62_200'!$AW$55:$AW$69</c:f>
              <c:numCache>
                <c:formatCode>0%</c:formatCode>
                <c:ptCount val="15"/>
                <c:pt idx="0">
                  <c:v>0.27206709491573822</c:v>
                </c:pt>
                <c:pt idx="1">
                  <c:v>0.26861833257017587</c:v>
                </c:pt>
                <c:pt idx="2">
                  <c:v>0.27206709491573822</c:v>
                </c:pt>
                <c:pt idx="3">
                  <c:v>0.28232524733030195</c:v>
                </c:pt>
                <c:pt idx="4">
                  <c:v>0.29913143947998777</c:v>
                </c:pt>
                <c:pt idx="5">
                  <c:v>0.32206019772599848</c:v>
                </c:pt>
                <c:pt idx="6">
                  <c:v>0.35053683944681957</c:v>
                </c:pt>
                <c:pt idx="7">
                  <c:v>0.38385781046231915</c:v>
                </c:pt>
                <c:pt idx="8">
                  <c:v>0.42121582235624055</c:v>
                </c:pt>
                <c:pt idx="9">
                  <c:v>0.46172890584085469</c:v>
                </c:pt>
                <c:pt idx="10">
                  <c:v>0.50447222206157161</c:v>
                </c:pt>
                <c:pt idx="11">
                  <c:v>0.54851122162113319</c:v>
                </c:pt>
                <c:pt idx="12">
                  <c:v>0.59293455322265087</c:v>
                </c:pt>
                <c:pt idx="13">
                  <c:v>0.63688504015581238</c:v>
                </c:pt>
                <c:pt idx="14">
                  <c:v>0.67958709266330763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48-4728-9D0C-C44CF5314912}"/>
            </c:ext>
          </c:extLst>
        </c:ser>
        <c:ser>
          <c:idx val="16"/>
          <c:order val="16"/>
          <c:tx>
            <c:strRef>
              <c:f>'850S62_200'!$AW$39:$AW$40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'850S62_200'!$AM$43:$AM$57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'850S62_200'!$AW$43:$AW$57</c:f>
              <c:numCache>
                <c:formatCode>0%</c:formatCode>
                <c:ptCount val="15"/>
                <c:pt idx="0">
                  <c:v>0.67958709266330719</c:v>
                </c:pt>
                <c:pt idx="1">
                  <c:v>0.63688504015581215</c:v>
                </c:pt>
                <c:pt idx="2">
                  <c:v>0.59293455322265087</c:v>
                </c:pt>
                <c:pt idx="3">
                  <c:v>0.54851122162113297</c:v>
                </c:pt>
                <c:pt idx="4">
                  <c:v>0.50447222206157116</c:v>
                </c:pt>
                <c:pt idx="5">
                  <c:v>0.46172890584085424</c:v>
                </c:pt>
                <c:pt idx="6">
                  <c:v>0.42121582235624033</c:v>
                </c:pt>
                <c:pt idx="7">
                  <c:v>0.38385781046231893</c:v>
                </c:pt>
                <c:pt idx="8">
                  <c:v>0.35053683944681935</c:v>
                </c:pt>
                <c:pt idx="9">
                  <c:v>0.32206019772599848</c:v>
                </c:pt>
                <c:pt idx="10">
                  <c:v>0.29913143947998777</c:v>
                </c:pt>
                <c:pt idx="11">
                  <c:v>0.28232524733030195</c:v>
                </c:pt>
                <c:pt idx="12">
                  <c:v>0.27206709491573822</c:v>
                </c:pt>
                <c:pt idx="13">
                  <c:v>0.26861833257017587</c:v>
                </c:pt>
                <c:pt idx="14">
                  <c:v>0.27206709491573822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48-4728-9D0C-C44CF5314912}"/>
            </c:ext>
          </c:extLst>
        </c:ser>
        <c:ser>
          <c:idx val="17"/>
          <c:order val="17"/>
          <c:tx>
            <c:strRef>
              <c:f>'850S62_200'!$AI$8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'850S62_200'!$AJ$8:$AJ$9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'850S62_200'!$AK$8:$AK$9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48-4728-9D0C-C44CF531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9151"/>
        <c:axId val="1"/>
      </c:scatterChart>
      <c:valAx>
        <c:axId val="946839151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91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093389916311272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'850S50_400'!$B$15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'850S50_400'!$B$18:$B$38</c:f>
              <c:numCache>
                <c:formatCode>0.00</c:formatCode>
                <c:ptCount val="21"/>
                <c:pt idx="0">
                  <c:v>0.13041342429262442</c:v>
                </c:pt>
                <c:pt idx="1">
                  <c:v>0.14128120965034316</c:v>
                </c:pt>
                <c:pt idx="2">
                  <c:v>0.15214899500806187</c:v>
                </c:pt>
                <c:pt idx="3">
                  <c:v>0.16301678036578057</c:v>
                </c:pt>
                <c:pt idx="4">
                  <c:v>0.17388456572349931</c:v>
                </c:pt>
                <c:pt idx="5">
                  <c:v>0.18475235108121801</c:v>
                </c:pt>
                <c:pt idx="6">
                  <c:v>0.19562013643893672</c:v>
                </c:pt>
                <c:pt idx="7">
                  <c:v>0.20648792179665543</c:v>
                </c:pt>
                <c:pt idx="8">
                  <c:v>0.21735570715437416</c:v>
                </c:pt>
                <c:pt idx="9">
                  <c:v>0.22822349251209284</c:v>
                </c:pt>
                <c:pt idx="10">
                  <c:v>0.23909127786981155</c:v>
                </c:pt>
                <c:pt idx="11">
                  <c:v>0.24995906322753025</c:v>
                </c:pt>
                <c:pt idx="12">
                  <c:v>0.26082684858524896</c:v>
                </c:pt>
                <c:pt idx="13">
                  <c:v>0.27169463394296767</c:v>
                </c:pt>
                <c:pt idx="14">
                  <c:v>0.28256241930068643</c:v>
                </c:pt>
                <c:pt idx="15">
                  <c:v>0.29343020465840514</c:v>
                </c:pt>
                <c:pt idx="16">
                  <c:v>0.30429799001612384</c:v>
                </c:pt>
                <c:pt idx="17">
                  <c:v>0.31516577537384255</c:v>
                </c:pt>
                <c:pt idx="18">
                  <c:v>0.32603356073156126</c:v>
                </c:pt>
                <c:pt idx="19">
                  <c:v>0.33690134608927996</c:v>
                </c:pt>
                <c:pt idx="20">
                  <c:v>0.34776913144699867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D-4708-A792-CA332DB9D417}"/>
            </c:ext>
          </c:extLst>
        </c:ser>
        <c:ser>
          <c:idx val="0"/>
          <c:order val="1"/>
          <c:tx>
            <c:strRef>
              <c:f>'850S50_400'!$J$14:$J$15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'850S50_400'!$J$18:$J$38</c:f>
              <c:numCache>
                <c:formatCode>0.00</c:formatCode>
                <c:ptCount val="21"/>
                <c:pt idx="0">
                  <c:v>1.538565338359251</c:v>
                </c:pt>
                <c:pt idx="1">
                  <c:v>1.6692907839222439</c:v>
                </c:pt>
                <c:pt idx="2">
                  <c:v>1.8112149564178202</c:v>
                </c:pt>
                <c:pt idx="3">
                  <c:v>1.96435703507439</c:v>
                </c:pt>
                <c:pt idx="4">
                  <c:v>2.1287421387317842</c:v>
                </c:pt>
                <c:pt idx="5">
                  <c:v>2.3044154868916853</c:v>
                </c:pt>
                <c:pt idx="6">
                  <c:v>2.4914573024981088</c:v>
                </c:pt>
                <c:pt idx="7">
                  <c:v>2.6899982696464617</c:v>
                </c:pt>
                <c:pt idx="8">
                  <c:v>2.9002356048312516</c:v>
                </c:pt>
                <c:pt idx="9">
                  <c:v>3.1224500449569659</c:v>
                </c:pt>
                <c:pt idx="10">
                  <c:v>3.3570243036453018</c:v>
                </c:pt>
                <c:pt idx="11">
                  <c:v>3.6044638158189639</c:v>
                </c:pt>
                <c:pt idx="12">
                  <c:v>3.8654209077213904</c:v>
                </c:pt>
                <c:pt idx="13">
                  <c:v>4.140723938825861</c:v>
                </c:pt>
                <c:pt idx="14">
                  <c:v>4.4314135282919578</c:v>
                </c:pt>
                <c:pt idx="15">
                  <c:v>4.7387888010490737</c:v>
                </c:pt>
                <c:pt idx="16">
                  <c:v>5.0644678252981858</c:v>
                </c:pt>
                <c:pt idx="17">
                  <c:v>5.4104683257786048</c:v>
                </c:pt>
                <c:pt idx="18">
                  <c:v>5.7793177947626537</c:v>
                </c:pt>
                <c:pt idx="19">
                  <c:v>6.1742070861728173</c:v>
                </c:pt>
                <c:pt idx="20">
                  <c:v>6.5992099519631058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D-4708-A792-CA332DB9D417}"/>
            </c:ext>
          </c:extLst>
        </c:ser>
        <c:ser>
          <c:idx val="6"/>
          <c:order val="2"/>
          <c:tx>
            <c:strRef>
              <c:f>'850S50_400'!$L$14:$L$15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D-4708-A792-CA332DB9D417}"/>
            </c:ext>
          </c:extLst>
        </c:ser>
        <c:ser>
          <c:idx val="3"/>
          <c:order val="3"/>
          <c:tx>
            <c:strRef>
              <c:f>'850S50_400'!$R$15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'850S50_400'!$R$18:$R$38</c:f>
              <c:numCache>
                <c:formatCode>0.00</c:formatCode>
                <c:ptCount val="21"/>
                <c:pt idx="0">
                  <c:v>0.12789076706259958</c:v>
                </c:pt>
                <c:pt idx="1">
                  <c:v>0.12996252997753721</c:v>
                </c:pt>
                <c:pt idx="2">
                  <c:v>0.13284423170210649</c:v>
                </c:pt>
                <c:pt idx="3">
                  <c:v>0.13661637628670736</c:v>
                </c:pt>
                <c:pt idx="4">
                  <c:v>0.14137342393759053</c:v>
                </c:pt>
                <c:pt idx="5">
                  <c:v>0.14722960833484577</c:v>
                </c:pt>
                <c:pt idx="6">
                  <c:v>0.15432562896050425</c:v>
                </c:pt>
                <c:pt idx="7">
                  <c:v>0.16283679965160508</c:v>
                </c:pt>
                <c:pt idx="8">
                  <c:v>0.17298343137613356</c:v>
                </c:pt>
                <c:pt idx="9">
                  <c:v>0.18504452990549375</c:v>
                </c:pt>
                <c:pt idx="10">
                  <c:v>0.19937636743261405</c:v>
                </c:pt>
                <c:pt idx="11">
                  <c:v>0.21643825564163358</c:v>
                </c:pt>
                <c:pt idx="12">
                  <c:v>0.23682910519218092</c:v>
                </c:pt>
                <c:pt idx="13">
                  <c:v>0.26134046357409452</c:v>
                </c:pt>
                <c:pt idx="14">
                  <c:v>0.29103535886456722</c:v>
                </c:pt>
                <c:pt idx="15">
                  <c:v>0.32736877441983636</c:v>
                </c:pt>
                <c:pt idx="16">
                  <c:v>0.37237768495336665</c:v>
                </c:pt>
                <c:pt idx="17">
                  <c:v>0.4289922779301189</c:v>
                </c:pt>
                <c:pt idx="18">
                  <c:v>0.50156918399902239</c:v>
                </c:pt>
                <c:pt idx="19">
                  <c:v>0.59685735920752392</c:v>
                </c:pt>
                <c:pt idx="20">
                  <c:v>0.72587561915942855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D-4708-A792-CA332DB9D417}"/>
            </c:ext>
          </c:extLst>
        </c:ser>
        <c:ser>
          <c:idx val="5"/>
          <c:order val="4"/>
          <c:tx>
            <c:strRef>
              <c:f>'850S50_400'!$N$14:$N$15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D-4708-A792-CA332DB9D417}"/>
            </c:ext>
          </c:extLst>
        </c:ser>
        <c:ser>
          <c:idx val="2"/>
          <c:order val="5"/>
          <c:tx>
            <c:strRef>
              <c:f>'850S50_400'!$Q$15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'850S50_400'!$Q$18:$Q$38</c:f>
              <c:numCache>
                <c:formatCode>0.00</c:formatCode>
                <c:ptCount val="21"/>
                <c:pt idx="0">
                  <c:v>1.6890437051115682E-5</c:v>
                </c:pt>
                <c:pt idx="1">
                  <c:v>2.3256748565989199E-5</c:v>
                </c:pt>
                <c:pt idx="2">
                  <c:v>3.1270607151139427E-5</c:v>
                </c:pt>
                <c:pt idx="3">
                  <c:v>4.1193312345384688E-5</c:v>
                </c:pt>
                <c:pt idx="4">
                  <c:v>5.3305015322700525E-5</c:v>
                </c:pt>
                <c:pt idx="5">
                  <c:v>6.7904612974758617E-5</c:v>
                </c:pt>
                <c:pt idx="6">
                  <c:v>8.5309635393680927E-5</c:v>
                </c:pt>
                <c:pt idx="7">
                  <c:v>1.0585612689654095E-4</c:v>
                </c:pt>
                <c:pt idx="8">
                  <c:v>1.2989852071740136E-4</c:v>
                </c:pt>
                <c:pt idx="9">
                  <c:v>1.5780950753874843E-4</c:v>
                </c:pt>
                <c:pt idx="10">
                  <c:v>1.8997989800031935E-4</c:v>
                </c:pt>
                <c:pt idx="11">
                  <c:v>2.2681847936477481E-4</c:v>
                </c:pt>
                <c:pt idx="12">
                  <c:v>2.6875186651108794E-4</c:v>
                </c:pt>
                <c:pt idx="13">
                  <c:v>3.1622434741901612E-4</c:v>
                </c:pt>
                <c:pt idx="14">
                  <c:v>3.6969772334401727E-4</c:v>
                </c:pt>
                <c:pt idx="15">
                  <c:v>4.2965114386794335E-4</c:v>
                </c:pt>
                <c:pt idx="16">
                  <c:v>4.9658093700849244E-4</c:v>
                </c:pt>
                <c:pt idx="17">
                  <c:v>5.7100043460481286E-4</c:v>
                </c:pt>
                <c:pt idx="18">
                  <c:v>6.534397931742792E-4</c:v>
                </c:pt>
                <c:pt idx="19">
                  <c:v>7.4444581044117353E-4</c:v>
                </c:pt>
                <c:pt idx="20">
                  <c:v>8.4458173777178123E-4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D-4708-A792-CA332DB9D417}"/>
            </c:ext>
          </c:extLst>
        </c:ser>
        <c:ser>
          <c:idx val="4"/>
          <c:order val="6"/>
          <c:tx>
            <c:strRef>
              <c:f>'850S50_400'!$S$14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'850S50_400'!$S$18:$S$38</c:f>
              <c:numCache>
                <c:formatCode>0.00</c:formatCode>
                <c:ptCount val="21"/>
                <c:pt idx="0">
                  <c:v>0.12227092385764121</c:v>
                </c:pt>
                <c:pt idx="1">
                  <c:v>0.13412519551881613</c:v>
                </c:pt>
                <c:pt idx="2">
                  <c:v>0.14807016526490174</c:v>
                </c:pt>
                <c:pt idx="3">
                  <c:v>0.16445803969702066</c:v>
                </c:pt>
                <c:pt idx="4">
                  <c:v>0.18372603114940372</c:v>
                </c:pt>
                <c:pt idx="5">
                  <c:v>0.20642316647105469</c:v>
                </c:pt>
                <c:pt idx="6">
                  <c:v>0.23324739826607138</c:v>
                </c:pt>
                <c:pt idx="7">
                  <c:v>0.2650981084479494</c:v>
                </c:pt>
                <c:pt idx="8">
                  <c:v>0.3031521654392651</c:v>
                </c:pt>
                <c:pt idx="9">
                  <c:v>0.34897705032260312</c:v>
                </c:pt>
                <c:pt idx="10">
                  <c:v>0.40470428367869477</c:v>
                </c:pt>
                <c:pt idx="11">
                  <c:v>0.47330486434460634</c:v>
                </c:pt>
                <c:pt idx="12">
                  <c:v>0.55904558607927979</c:v>
                </c:pt>
                <c:pt idx="13">
                  <c:v>0.66828499413562614</c:v>
                </c:pt>
                <c:pt idx="14">
                  <c:v>0.81095444576427211</c:v>
                </c:pt>
                <c:pt idx="15">
                  <c:v>1.0035548381364328</c:v>
                </c:pt>
                <c:pt idx="16">
                  <c:v>1.2759508973924603</c:v>
                </c:pt>
                <c:pt idx="17">
                  <c:v>1.6895468728796763</c:v>
                </c:pt>
                <c:pt idx="18">
                  <c:v>2.4009653812741565</c:v>
                </c:pt>
                <c:pt idx="19">
                  <c:v>4.0565914748426479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D-4708-A792-CA332DB9D417}"/>
            </c:ext>
          </c:extLst>
        </c:ser>
        <c:ser>
          <c:idx val="8"/>
          <c:order val="7"/>
          <c:tx>
            <c:strRef>
              <c:f>'850S50_400'!$T$14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'850S50_400'!$T$18:$T$38</c:f>
              <c:numCache>
                <c:formatCode>0.0</c:formatCode>
                <c:ptCount val="21"/>
                <c:pt idx="0">
                  <c:v>2.2191573440091674</c:v>
                </c:pt>
                <c:pt idx="1">
                  <c:v>2.3746829758175063</c:v>
                </c:pt>
                <c:pt idx="2">
                  <c:v>2.5443096190000416</c:v>
                </c:pt>
                <c:pt idx="3">
                  <c:v>2.7284894247362432</c:v>
                </c:pt>
                <c:pt idx="4">
                  <c:v>2.9277794645576001</c:v>
                </c:pt>
                <c:pt idx="5">
                  <c:v>3.1428885173917784</c:v>
                </c:pt>
                <c:pt idx="6">
                  <c:v>3.3747357757990142</c:v>
                </c:pt>
                <c:pt idx="7">
                  <c:v>3.6245269556695678</c:v>
                </c:pt>
                <c:pt idx="8">
                  <c:v>3.8938568073217414</c:v>
                </c:pt>
                <c:pt idx="9">
                  <c:v>4.1848529272046946</c:v>
                </c:pt>
                <c:pt idx="10">
                  <c:v>4.5003862125244227</c:v>
                </c:pt>
                <c:pt idx="11">
                  <c:v>4.8443928175120989</c:v>
                </c:pt>
                <c:pt idx="12">
                  <c:v>5.2223911994446119</c:v>
                </c:pt>
                <c:pt idx="13">
                  <c:v>5.6423602548259675</c:v>
                </c:pt>
                <c:pt idx="14">
                  <c:v>6.1163354499448275</c:v>
                </c:pt>
                <c:pt idx="15">
                  <c:v>6.6635722694076156</c:v>
                </c:pt>
                <c:pt idx="16">
                  <c:v>7.3175909785971465</c:v>
                </c:pt>
                <c:pt idx="17">
                  <c:v>8.1447442523968476</c:v>
                </c:pt>
                <c:pt idx="18">
                  <c:v>9.3085393605605695</c:v>
                </c:pt>
                <c:pt idx="19">
                  <c:v>11.465301712122711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D-4708-A792-CA332DB9D417}"/>
            </c:ext>
          </c:extLst>
        </c:ser>
        <c:ser>
          <c:idx val="7"/>
          <c:order val="8"/>
          <c:tx>
            <c:strRef>
              <c:f>'850S50_400'!$AL$15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'850S50_400'!$AL$18:$AL$38</c:f>
              <c:numCache>
                <c:formatCode>General</c:formatCode>
                <c:ptCount val="21"/>
                <c:pt idx="0">
                  <c:v>5.17</c:v>
                </c:pt>
                <c:pt idx="1">
                  <c:v>5.17</c:v>
                </c:pt>
                <c:pt idx="2">
                  <c:v>5.17</c:v>
                </c:pt>
                <c:pt idx="3">
                  <c:v>5.17</c:v>
                </c:pt>
                <c:pt idx="4">
                  <c:v>5.17</c:v>
                </c:pt>
                <c:pt idx="5">
                  <c:v>5.17</c:v>
                </c:pt>
                <c:pt idx="6">
                  <c:v>5.17</c:v>
                </c:pt>
                <c:pt idx="7">
                  <c:v>5.17</c:v>
                </c:pt>
                <c:pt idx="8">
                  <c:v>5.17</c:v>
                </c:pt>
                <c:pt idx="9">
                  <c:v>5.17</c:v>
                </c:pt>
                <c:pt idx="10">
                  <c:v>5.17</c:v>
                </c:pt>
                <c:pt idx="11">
                  <c:v>5.17</c:v>
                </c:pt>
                <c:pt idx="12">
                  <c:v>5.17</c:v>
                </c:pt>
                <c:pt idx="13">
                  <c:v>5.17</c:v>
                </c:pt>
                <c:pt idx="14">
                  <c:v>5.17</c:v>
                </c:pt>
                <c:pt idx="15">
                  <c:v>5.17</c:v>
                </c:pt>
                <c:pt idx="16">
                  <c:v>5.17</c:v>
                </c:pt>
                <c:pt idx="17">
                  <c:v>5.17</c:v>
                </c:pt>
                <c:pt idx="18">
                  <c:v>5.17</c:v>
                </c:pt>
                <c:pt idx="19">
                  <c:v>5.17</c:v>
                </c:pt>
                <c:pt idx="20">
                  <c:v>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D-4708-A792-CA332DB9D417}"/>
            </c:ext>
          </c:extLst>
        </c:ser>
        <c:ser>
          <c:idx val="9"/>
          <c:order val="9"/>
          <c:tx>
            <c:strRef>
              <c:f>'850S50_400'!$AN$16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'850S50_400'!$AM$18:$AM$38</c:f>
              <c:numCache>
                <c:formatCode>General</c:formatCode>
                <c:ptCount val="21"/>
                <c:pt idx="0">
                  <c:v>6.6000000000000003E-2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6.6000000000000003E-2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6.6000000000000003E-2</c:v>
                </c:pt>
                <c:pt idx="10">
                  <c:v>6.6000000000000003E-2</c:v>
                </c:pt>
                <c:pt idx="11">
                  <c:v>6.6000000000000003E-2</c:v>
                </c:pt>
                <c:pt idx="12">
                  <c:v>6.6000000000000003E-2</c:v>
                </c:pt>
                <c:pt idx="13">
                  <c:v>6.6000000000000003E-2</c:v>
                </c:pt>
                <c:pt idx="14">
                  <c:v>6.6000000000000003E-2</c:v>
                </c:pt>
                <c:pt idx="15">
                  <c:v>6.6000000000000003E-2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</c:numCache>
            </c:numRef>
          </c:xVal>
          <c:yVal>
            <c:numRef>
              <c:f>'850S50_400'!$AN$18:$AN$38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D-4708-A792-CA332DB9D417}"/>
            </c:ext>
          </c:extLst>
        </c:ser>
        <c:ser>
          <c:idx val="10"/>
          <c:order val="10"/>
          <c:tx>
            <c:strRef>
              <c:f>'850S50_400'!$M$14:$M$15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'850S50_400'!$A$18:$A$38</c:f>
              <c:numCache>
                <c:formatCode>0.00#</c:formatCode>
                <c:ptCount val="21"/>
                <c:pt idx="0">
                  <c:v>3.5999999999999997E-2</c:v>
                </c:pt>
                <c:pt idx="1">
                  <c:v>3.9E-2</c:v>
                </c:pt>
                <c:pt idx="2">
                  <c:v>4.2000000000000003E-2</c:v>
                </c:pt>
                <c:pt idx="3">
                  <c:v>4.5000000000000005E-2</c:v>
                </c:pt>
                <c:pt idx="4">
                  <c:v>4.8000000000000008E-2</c:v>
                </c:pt>
                <c:pt idx="5">
                  <c:v>5.1000000000000011E-2</c:v>
                </c:pt>
                <c:pt idx="6">
                  <c:v>5.4000000000000013E-2</c:v>
                </c:pt>
                <c:pt idx="7">
                  <c:v>5.7000000000000016E-2</c:v>
                </c:pt>
                <c:pt idx="8">
                  <c:v>6.0000000000000019E-2</c:v>
                </c:pt>
                <c:pt idx="9">
                  <c:v>6.3000000000000014E-2</c:v>
                </c:pt>
                <c:pt idx="10">
                  <c:v>6.6000000000000017E-2</c:v>
                </c:pt>
                <c:pt idx="11">
                  <c:v>6.900000000000002E-2</c:v>
                </c:pt>
                <c:pt idx="12">
                  <c:v>7.2000000000000022E-2</c:v>
                </c:pt>
                <c:pt idx="13">
                  <c:v>7.5000000000000025E-2</c:v>
                </c:pt>
                <c:pt idx="14">
                  <c:v>7.8000000000000028E-2</c:v>
                </c:pt>
                <c:pt idx="15">
                  <c:v>8.100000000000003E-2</c:v>
                </c:pt>
                <c:pt idx="16">
                  <c:v>8.4000000000000033E-2</c:v>
                </c:pt>
                <c:pt idx="17">
                  <c:v>8.7000000000000036E-2</c:v>
                </c:pt>
                <c:pt idx="18">
                  <c:v>9.0000000000000038E-2</c:v>
                </c:pt>
                <c:pt idx="19">
                  <c:v>9.3000000000000041E-2</c:v>
                </c:pt>
                <c:pt idx="20">
                  <c:v>9.6000000000000044E-2</c:v>
                </c:pt>
              </c:numCache>
            </c:numRef>
          </c:xVal>
          <c:yVal>
            <c:numRef>
              <c:f>'850S50_400'!$M$18:$M$38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D-4708-A792-CA332DB9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28335"/>
        <c:axId val="1"/>
      </c:scatterChart>
      <c:valAx>
        <c:axId val="946828335"/>
        <c:scaling>
          <c:orientation val="minMax"/>
          <c:max val="9.5000000000000001E-2"/>
          <c:min val="0.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635643600746099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2833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4D0-996F-7B00CA55C99E}"/>
            </c:ext>
          </c:extLst>
        </c:ser>
        <c:ser>
          <c:idx val="1"/>
          <c:order val="1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44D0-996F-7B00CA55C99E}"/>
            </c:ext>
          </c:extLst>
        </c:ser>
        <c:ser>
          <c:idx val="2"/>
          <c:order val="2"/>
          <c:tx>
            <c:strRef>
              <c:f>'850S50_400'!$AD$40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'850S50_400'!$AD$41:$AD$71</c:f>
              <c:numCache>
                <c:formatCode>0%</c:formatCode>
                <c:ptCount val="31"/>
                <c:pt idx="0">
                  <c:v>0.14815413080995449</c:v>
                </c:pt>
                <c:pt idx="1">
                  <c:v>0.19375758730262455</c:v>
                </c:pt>
                <c:pt idx="2">
                  <c:v>0.24702489343520351</c:v>
                </c:pt>
                <c:pt idx="3">
                  <c:v>0.3072602508957859</c:v>
                </c:pt>
                <c:pt idx="4">
                  <c:v>0.3732034557902929</c:v>
                </c:pt>
                <c:pt idx="5">
                  <c:v>0.4430936778663821</c:v>
                </c:pt>
                <c:pt idx="6">
                  <c:v>0.51480547550489031</c:v>
                </c:pt>
                <c:pt idx="7">
                  <c:v>0.58604034290888707</c:v>
                </c:pt>
                <c:pt idx="8">
                  <c:v>0.65454537156906534</c:v>
                </c:pt>
                <c:pt idx="9">
                  <c:v>0.7183247233241512</c:v>
                </c:pt>
                <c:pt idx="10">
                  <c:v>0.77581118213633027</c:v>
                </c:pt>
                <c:pt idx="11">
                  <c:v>0.82597363992870643</c:v>
                </c:pt>
                <c:pt idx="12">
                  <c:v>0.86834962779732705</c:v>
                </c:pt>
                <c:pt idx="13">
                  <c:v>0.90300644061531887</c:v>
                </c:pt>
                <c:pt idx="14">
                  <c:v>0.93044650574329091</c:v>
                </c:pt>
                <c:pt idx="15">
                  <c:v>0.95147989978605207</c:v>
                </c:pt>
                <c:pt idx="16">
                  <c:v>0.96708840265681206</c:v>
                </c:pt>
                <c:pt idx="17">
                  <c:v>0.97830189195039841</c:v>
                </c:pt>
                <c:pt idx="18">
                  <c:v>0.9861010530238361</c:v>
                </c:pt>
                <c:pt idx="19">
                  <c:v>0.9913525431726149</c:v>
                </c:pt>
                <c:pt idx="20">
                  <c:v>0.99477584128292373</c:v>
                </c:pt>
                <c:pt idx="21">
                  <c:v>0.99693624210125376</c:v>
                </c:pt>
                <c:pt idx="22">
                  <c:v>0.99825617343070294</c:v>
                </c:pt>
                <c:pt idx="23">
                  <c:v>0.99903689409191743</c:v>
                </c:pt>
                <c:pt idx="24">
                  <c:v>0.99948395559716285</c:v>
                </c:pt>
                <c:pt idx="25">
                  <c:v>0.99973179256066125</c:v>
                </c:pt>
                <c:pt idx="26">
                  <c:v>0.99986480492457863</c:v>
                </c:pt>
                <c:pt idx="27">
                  <c:v>0.99993391557788747</c:v>
                </c:pt>
                <c:pt idx="28">
                  <c:v>0.99996867919520727</c:v>
                </c:pt>
                <c:pt idx="29">
                  <c:v>0.99998560821513183</c:v>
                </c:pt>
                <c:pt idx="30">
                  <c:v>0.99999358936524896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3-44D0-996F-7B00CA55C99E}"/>
            </c:ext>
          </c:extLst>
        </c:ser>
        <c:ser>
          <c:idx val="3"/>
          <c:order val="3"/>
          <c:tx>
            <c:strRef>
              <c:f>'850S50_400'!$AE$40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'850S50_400'!$AE$41:$AE$71</c:f>
              <c:numCache>
                <c:formatCode>0%</c:formatCode>
                <c:ptCount val="31"/>
                <c:pt idx="0">
                  <c:v>0.99999358936524896</c:v>
                </c:pt>
                <c:pt idx="1">
                  <c:v>0.99998560821513183</c:v>
                </c:pt>
                <c:pt idx="2">
                  <c:v>0.99996867919520727</c:v>
                </c:pt>
                <c:pt idx="3">
                  <c:v>0.99993391557788747</c:v>
                </c:pt>
                <c:pt idx="4">
                  <c:v>0.99986480492457863</c:v>
                </c:pt>
                <c:pt idx="5">
                  <c:v>0.99973179256066125</c:v>
                </c:pt>
                <c:pt idx="6">
                  <c:v>0.99948395559716285</c:v>
                </c:pt>
                <c:pt idx="7">
                  <c:v>0.99903689409191743</c:v>
                </c:pt>
                <c:pt idx="8">
                  <c:v>0.99825617343070294</c:v>
                </c:pt>
                <c:pt idx="9">
                  <c:v>0.99693624210125376</c:v>
                </c:pt>
                <c:pt idx="10">
                  <c:v>0.99477584128292373</c:v>
                </c:pt>
                <c:pt idx="11">
                  <c:v>0.9913525431726149</c:v>
                </c:pt>
                <c:pt idx="12">
                  <c:v>0.9861010530238361</c:v>
                </c:pt>
                <c:pt idx="13">
                  <c:v>0.97830189195039841</c:v>
                </c:pt>
                <c:pt idx="14">
                  <c:v>0.96708840265681206</c:v>
                </c:pt>
                <c:pt idx="15">
                  <c:v>0.95147989978605207</c:v>
                </c:pt>
                <c:pt idx="16">
                  <c:v>0.93044650574329091</c:v>
                </c:pt>
                <c:pt idx="17">
                  <c:v>0.90300644061531909</c:v>
                </c:pt>
                <c:pt idx="18">
                  <c:v>0.86834962779732705</c:v>
                </c:pt>
                <c:pt idx="19">
                  <c:v>0.82597363992870632</c:v>
                </c:pt>
                <c:pt idx="20">
                  <c:v>0.77581118213633016</c:v>
                </c:pt>
                <c:pt idx="21">
                  <c:v>0.71832472332415098</c:v>
                </c:pt>
                <c:pt idx="22">
                  <c:v>0.65454537156906523</c:v>
                </c:pt>
                <c:pt idx="23">
                  <c:v>0.58604034290888674</c:v>
                </c:pt>
                <c:pt idx="24">
                  <c:v>0.51480547550488998</c:v>
                </c:pt>
                <c:pt idx="25">
                  <c:v>0.44309367786638182</c:v>
                </c:pt>
                <c:pt idx="26">
                  <c:v>0.37320345579029268</c:v>
                </c:pt>
                <c:pt idx="27">
                  <c:v>0.30726025089578557</c:v>
                </c:pt>
                <c:pt idx="28">
                  <c:v>0.24702489343520301</c:v>
                </c:pt>
                <c:pt idx="29">
                  <c:v>0.19375758730262427</c:v>
                </c:pt>
                <c:pt idx="30">
                  <c:v>0.1481541308099541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3-44D0-996F-7B00CA55C99E}"/>
            </c:ext>
          </c:extLst>
        </c:ser>
        <c:ser>
          <c:idx val="4"/>
          <c:order val="4"/>
          <c:tx>
            <c:strRef>
              <c:f>'850S50_400'!$AF$40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3-44D0-996F-7B00CA55C99E}"/>
            </c:ext>
          </c:extLst>
        </c:ser>
        <c:ser>
          <c:idx val="5"/>
          <c:order val="5"/>
          <c:tx>
            <c:strRef>
              <c:f>'850S50_400'!$AG$40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'850S50_400'!$AG$41:$AG$71</c:f>
              <c:numCache>
                <c:formatCode>0%</c:formatCode>
                <c:ptCount val="31"/>
                <c:pt idx="0">
                  <c:v>0.85184586919004546</c:v>
                </c:pt>
                <c:pt idx="1">
                  <c:v>0.80624241269737551</c:v>
                </c:pt>
                <c:pt idx="2">
                  <c:v>0.75297510656479649</c:v>
                </c:pt>
                <c:pt idx="3">
                  <c:v>0.6927397491042141</c:v>
                </c:pt>
                <c:pt idx="4">
                  <c:v>0.6267965442097071</c:v>
                </c:pt>
                <c:pt idx="5">
                  <c:v>0.5569063221336179</c:v>
                </c:pt>
                <c:pt idx="6">
                  <c:v>0.48519452449510969</c:v>
                </c:pt>
                <c:pt idx="7">
                  <c:v>0.41395965709111293</c:v>
                </c:pt>
                <c:pt idx="8">
                  <c:v>0.34545462843093466</c:v>
                </c:pt>
                <c:pt idx="9">
                  <c:v>0.2816752766758488</c:v>
                </c:pt>
                <c:pt idx="10">
                  <c:v>0.22418881786366973</c:v>
                </c:pt>
                <c:pt idx="11">
                  <c:v>0.17402636007129357</c:v>
                </c:pt>
                <c:pt idx="12">
                  <c:v>0.13165037220267295</c:v>
                </c:pt>
                <c:pt idx="13">
                  <c:v>9.6993559384681127E-2</c:v>
                </c:pt>
                <c:pt idx="14">
                  <c:v>6.9553494256709092E-2</c:v>
                </c:pt>
                <c:pt idx="15">
                  <c:v>4.8520100213947925E-2</c:v>
                </c:pt>
                <c:pt idx="16">
                  <c:v>3.2911597343187937E-2</c:v>
                </c:pt>
                <c:pt idx="17">
                  <c:v>2.1698108049601594E-2</c:v>
                </c:pt>
                <c:pt idx="18">
                  <c:v>1.3898946976163895E-2</c:v>
                </c:pt>
                <c:pt idx="19">
                  <c:v>8.6474568273851027E-3</c:v>
                </c:pt>
                <c:pt idx="20">
                  <c:v>5.224158717076266E-3</c:v>
                </c:pt>
                <c:pt idx="21">
                  <c:v>3.0637578987462444E-3</c:v>
                </c:pt>
                <c:pt idx="22">
                  <c:v>1.7438265692970578E-3</c:v>
                </c:pt>
                <c:pt idx="23">
                  <c:v>9.6310590808257324E-4</c:v>
                </c:pt>
                <c:pt idx="24">
                  <c:v>5.1604440283714581E-4</c:v>
                </c:pt>
                <c:pt idx="25">
                  <c:v>2.6820743933875235E-4</c:v>
                </c:pt>
                <c:pt idx="26">
                  <c:v>1.3519507542136822E-4</c:v>
                </c:pt>
                <c:pt idx="27">
                  <c:v>6.6084422112533403E-5</c:v>
                </c:pt>
                <c:pt idx="28">
                  <c:v>3.1320804792733803E-5</c:v>
                </c:pt>
                <c:pt idx="29">
                  <c:v>1.4391784868172941E-5</c:v>
                </c:pt>
                <c:pt idx="30">
                  <c:v>6.410634751041755E-6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3-44D0-996F-7B00CA55C99E}"/>
            </c:ext>
          </c:extLst>
        </c:ser>
        <c:ser>
          <c:idx val="6"/>
          <c:order val="6"/>
          <c:tx>
            <c:strRef>
              <c:f>'850S50_400'!$AH$40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'850S50_400'!$AH$41:$AH$71</c:f>
              <c:numCache>
                <c:formatCode>0%</c:formatCode>
                <c:ptCount val="31"/>
                <c:pt idx="0">
                  <c:v>6.410634751041755E-6</c:v>
                </c:pt>
                <c:pt idx="1">
                  <c:v>1.4391784868172941E-5</c:v>
                </c:pt>
                <c:pt idx="2">
                  <c:v>3.1320804792733803E-5</c:v>
                </c:pt>
                <c:pt idx="3">
                  <c:v>6.6084422112533403E-5</c:v>
                </c:pt>
                <c:pt idx="4">
                  <c:v>1.3519507542136822E-4</c:v>
                </c:pt>
                <c:pt idx="5">
                  <c:v>2.6820743933875235E-4</c:v>
                </c:pt>
                <c:pt idx="6">
                  <c:v>5.1604440283714581E-4</c:v>
                </c:pt>
                <c:pt idx="7">
                  <c:v>9.6310590808257324E-4</c:v>
                </c:pt>
                <c:pt idx="8">
                  <c:v>1.7438265692970578E-3</c:v>
                </c:pt>
                <c:pt idx="9">
                  <c:v>3.0637578987462444E-3</c:v>
                </c:pt>
                <c:pt idx="10">
                  <c:v>5.224158717076266E-3</c:v>
                </c:pt>
                <c:pt idx="11">
                  <c:v>8.6474568273851027E-3</c:v>
                </c:pt>
                <c:pt idx="12">
                  <c:v>1.3898946976163895E-2</c:v>
                </c:pt>
                <c:pt idx="13">
                  <c:v>2.1698108049601594E-2</c:v>
                </c:pt>
                <c:pt idx="14">
                  <c:v>3.2911597343187937E-2</c:v>
                </c:pt>
                <c:pt idx="15">
                  <c:v>4.8520100213947925E-2</c:v>
                </c:pt>
                <c:pt idx="16">
                  <c:v>6.9553494256709092E-2</c:v>
                </c:pt>
                <c:pt idx="17">
                  <c:v>9.6993559384680905E-2</c:v>
                </c:pt>
                <c:pt idx="18">
                  <c:v>0.13165037220267295</c:v>
                </c:pt>
                <c:pt idx="19">
                  <c:v>0.17402636007129368</c:v>
                </c:pt>
                <c:pt idx="20">
                  <c:v>0.22418881786366984</c:v>
                </c:pt>
                <c:pt idx="21">
                  <c:v>0.28167527667584902</c:v>
                </c:pt>
                <c:pt idx="22">
                  <c:v>0.34545462843093477</c:v>
                </c:pt>
                <c:pt idx="23">
                  <c:v>0.41395965709111326</c:v>
                </c:pt>
                <c:pt idx="24">
                  <c:v>0.48519452449511002</c:v>
                </c:pt>
                <c:pt idx="25">
                  <c:v>0.55690632213361813</c:v>
                </c:pt>
                <c:pt idx="26">
                  <c:v>0.62679654420970732</c:v>
                </c:pt>
                <c:pt idx="27">
                  <c:v>0.69273974910421443</c:v>
                </c:pt>
                <c:pt idx="28">
                  <c:v>0.75297510656479694</c:v>
                </c:pt>
                <c:pt idx="29">
                  <c:v>0.80624241269737573</c:v>
                </c:pt>
                <c:pt idx="30">
                  <c:v>0.8518458691900459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73-44D0-996F-7B00CA55C99E}"/>
            </c:ext>
          </c:extLst>
        </c:ser>
        <c:ser>
          <c:idx val="7"/>
          <c:order val="7"/>
          <c:tx>
            <c:strRef>
              <c:f>'850S50_400'!$AI$40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3-44D0-996F-7B00CA55C99E}"/>
            </c:ext>
          </c:extLst>
        </c:ser>
        <c:ser>
          <c:idx val="8"/>
          <c:order val="8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3-44D0-996F-7B00CA55C99E}"/>
            </c:ext>
          </c:extLst>
        </c:ser>
        <c:ser>
          <c:idx val="9"/>
          <c:order val="9"/>
          <c:tx>
            <c:strRef>
              <c:f>'850S50_400'!$AO$40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'850S50_400'!$AN$41:$AN$47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'850S50_400'!$AO$41:$AO$47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73-44D0-996F-7B00CA55C99E}"/>
            </c:ext>
          </c:extLst>
        </c:ser>
        <c:ser>
          <c:idx val="10"/>
          <c:order val="10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'850S50_400'!$AF$41:$AF$71</c:f>
              <c:numCache>
                <c:formatCode>0%</c:formatCode>
                <c:ptCount val="31"/>
                <c:pt idx="0">
                  <c:v>0.1481477201752035</c:v>
                </c:pt>
                <c:pt idx="1">
                  <c:v>0.19374319551775643</c:v>
                </c:pt>
                <c:pt idx="2">
                  <c:v>0.24699357263041088</c:v>
                </c:pt>
                <c:pt idx="3">
                  <c:v>0.30719416647367348</c:v>
                </c:pt>
                <c:pt idx="4">
                  <c:v>0.37306826071487142</c:v>
                </c:pt>
                <c:pt idx="5">
                  <c:v>0.44282547042704334</c:v>
                </c:pt>
                <c:pt idx="6">
                  <c:v>0.51428943110205316</c:v>
                </c:pt>
                <c:pt idx="7">
                  <c:v>0.58507723700080438</c:v>
                </c:pt>
                <c:pt idx="8">
                  <c:v>0.65280154499976817</c:v>
                </c:pt>
                <c:pt idx="9">
                  <c:v>0.71526096542540496</c:v>
                </c:pt>
                <c:pt idx="10">
                  <c:v>0.770587023419254</c:v>
                </c:pt>
                <c:pt idx="11">
                  <c:v>0.81732618310132121</c:v>
                </c:pt>
                <c:pt idx="12">
                  <c:v>0.85445068082116316</c:v>
                </c:pt>
                <c:pt idx="13">
                  <c:v>0.88130833256571739</c:v>
                </c:pt>
                <c:pt idx="14">
                  <c:v>0.89753490840010297</c:v>
                </c:pt>
                <c:pt idx="15">
                  <c:v>0.90295979957210415</c:v>
                </c:pt>
                <c:pt idx="16">
                  <c:v>0.89753490840010297</c:v>
                </c:pt>
                <c:pt idx="17">
                  <c:v>0.88130833256571739</c:v>
                </c:pt>
                <c:pt idx="18">
                  <c:v>0.85445068082116316</c:v>
                </c:pt>
                <c:pt idx="19">
                  <c:v>0.81732618310132121</c:v>
                </c:pt>
                <c:pt idx="20">
                  <c:v>0.770587023419254</c:v>
                </c:pt>
                <c:pt idx="21">
                  <c:v>0.71526096542540474</c:v>
                </c:pt>
                <c:pt idx="22">
                  <c:v>0.65280154499976817</c:v>
                </c:pt>
                <c:pt idx="23">
                  <c:v>0.58507723700080416</c:v>
                </c:pt>
                <c:pt idx="24">
                  <c:v>0.51428943110205294</c:v>
                </c:pt>
                <c:pt idx="25">
                  <c:v>0.44282547042704312</c:v>
                </c:pt>
                <c:pt idx="26">
                  <c:v>0.37306826071487142</c:v>
                </c:pt>
                <c:pt idx="27">
                  <c:v>0.30719416647367304</c:v>
                </c:pt>
                <c:pt idx="28">
                  <c:v>0.24699357263041022</c:v>
                </c:pt>
                <c:pt idx="29">
                  <c:v>0.19374319551775621</c:v>
                </c:pt>
                <c:pt idx="30">
                  <c:v>0.14814772017520306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73-44D0-996F-7B00CA55C99E}"/>
            </c:ext>
          </c:extLst>
        </c:ser>
        <c:ser>
          <c:idx val="11"/>
          <c:order val="11"/>
          <c:tx>
            <c:strRef>
              <c:f>'850S50_400'!$AL$40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73-44D0-996F-7B00CA55C99E}"/>
            </c:ext>
          </c:extLst>
        </c:ser>
        <c:ser>
          <c:idx val="12"/>
          <c:order val="12"/>
          <c:tx>
            <c:strRef>
              <c:f>'850S50_400'!$AM$40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'850S50_400'!$AM$41:$AM$71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'850S50_400'!$AI$41:$AI$71</c:f>
              <c:numCache>
                <c:formatCode>0%</c:formatCode>
                <c:ptCount val="31"/>
                <c:pt idx="0">
                  <c:v>0.8518522798247965</c:v>
                </c:pt>
                <c:pt idx="1">
                  <c:v>0.80625680448224357</c:v>
                </c:pt>
                <c:pt idx="2">
                  <c:v>0.75300642736958912</c:v>
                </c:pt>
                <c:pt idx="3">
                  <c:v>0.69280583352632652</c:v>
                </c:pt>
                <c:pt idx="4">
                  <c:v>0.62693173928512858</c:v>
                </c:pt>
                <c:pt idx="5">
                  <c:v>0.55717452957295666</c:v>
                </c:pt>
                <c:pt idx="6">
                  <c:v>0.48571056889794684</c:v>
                </c:pt>
                <c:pt idx="7">
                  <c:v>0.41492276299919562</c:v>
                </c:pt>
                <c:pt idx="8">
                  <c:v>0.34719845500023183</c:v>
                </c:pt>
                <c:pt idx="9">
                  <c:v>0.28473903457459504</c:v>
                </c:pt>
                <c:pt idx="10">
                  <c:v>0.229412976580746</c:v>
                </c:pt>
                <c:pt idx="11">
                  <c:v>0.18267381689867879</c:v>
                </c:pt>
                <c:pt idx="12">
                  <c:v>0.14554931917883684</c:v>
                </c:pt>
                <c:pt idx="13">
                  <c:v>0.11869166743428261</c:v>
                </c:pt>
                <c:pt idx="14">
                  <c:v>0.10246509159989703</c:v>
                </c:pt>
                <c:pt idx="15">
                  <c:v>9.7040200427895851E-2</c:v>
                </c:pt>
                <c:pt idx="16">
                  <c:v>0.10246509159989703</c:v>
                </c:pt>
                <c:pt idx="17">
                  <c:v>0.11869166743428261</c:v>
                </c:pt>
                <c:pt idx="18">
                  <c:v>0.14554931917883684</c:v>
                </c:pt>
                <c:pt idx="19">
                  <c:v>0.18267381689867879</c:v>
                </c:pt>
                <c:pt idx="20">
                  <c:v>0.229412976580746</c:v>
                </c:pt>
                <c:pt idx="21">
                  <c:v>0.28473903457459526</c:v>
                </c:pt>
                <c:pt idx="22">
                  <c:v>0.34719845500023183</c:v>
                </c:pt>
                <c:pt idx="23">
                  <c:v>0.41492276299919584</c:v>
                </c:pt>
                <c:pt idx="24">
                  <c:v>0.48571056889794706</c:v>
                </c:pt>
                <c:pt idx="25">
                  <c:v>0.55717452957295688</c:v>
                </c:pt>
                <c:pt idx="26">
                  <c:v>0.62693173928512858</c:v>
                </c:pt>
                <c:pt idx="27">
                  <c:v>0.69280583352632696</c:v>
                </c:pt>
                <c:pt idx="28">
                  <c:v>0.75300642736958978</c:v>
                </c:pt>
                <c:pt idx="29">
                  <c:v>0.80625680448224379</c:v>
                </c:pt>
                <c:pt idx="30">
                  <c:v>0.85185227982479694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073-44D0-996F-7B00CA55C99E}"/>
            </c:ext>
          </c:extLst>
        </c:ser>
        <c:ser>
          <c:idx val="13"/>
          <c:order val="13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'850S50_400'!$AT$55:$AT$69</c:f>
              <c:numCache>
                <c:formatCode>0%</c:formatCode>
                <c:ptCount val="15"/>
                <c:pt idx="0">
                  <c:v>0.72737534115948321</c:v>
                </c:pt>
                <c:pt idx="1">
                  <c:v>0.73081688408737566</c:v>
                </c:pt>
                <c:pt idx="2">
                  <c:v>0.72737534115948321</c:v>
                </c:pt>
                <c:pt idx="3">
                  <c:v>0.71713859700962646</c:v>
                </c:pt>
                <c:pt idx="4">
                  <c:v>0.70036725753942042</c:v>
                </c:pt>
                <c:pt idx="5">
                  <c:v>0.67748557513713026</c:v>
                </c:pt>
                <c:pt idx="6">
                  <c:v>0.64906656682072184</c:v>
                </c:pt>
                <c:pt idx="7">
                  <c:v>0.61581172765398984</c:v>
                </c:pt>
                <c:pt idx="8">
                  <c:v>0.57852596566406356</c:v>
                </c:pt>
                <c:pt idx="9">
                  <c:v>0.53808864327517725</c:v>
                </c:pt>
                <c:pt idx="10">
                  <c:v>0.49542188157404343</c:v>
                </c:pt>
                <c:pt idx="11">
                  <c:v>0.45145753236557229</c:v>
                </c:pt>
                <c:pt idx="12">
                  <c:v>0.40710440755847843</c:v>
                </c:pt>
                <c:pt idx="13">
                  <c:v>0.36321743667621664</c:v>
                </c:pt>
                <c:pt idx="14">
                  <c:v>0.32057037249178033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073-44D0-996F-7B00CA55C99E}"/>
            </c:ext>
          </c:extLst>
        </c:ser>
        <c:ser>
          <c:idx val="14"/>
          <c:order val="14"/>
          <c:tx>
            <c:strRef>
              <c:f>'850S50_400'!$AT$39:$AT$40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'850S50_400'!$AT$43:$AT$57</c:f>
              <c:numCache>
                <c:formatCode>0%</c:formatCode>
                <c:ptCount val="15"/>
                <c:pt idx="0">
                  <c:v>0.32057037249178078</c:v>
                </c:pt>
                <c:pt idx="1">
                  <c:v>0.36321743667621709</c:v>
                </c:pt>
                <c:pt idx="2">
                  <c:v>0.40710440755847865</c:v>
                </c:pt>
                <c:pt idx="3">
                  <c:v>0.45145753236557251</c:v>
                </c:pt>
                <c:pt idx="4">
                  <c:v>0.49542188157404343</c:v>
                </c:pt>
                <c:pt idx="5">
                  <c:v>0.53808864327517725</c:v>
                </c:pt>
                <c:pt idx="6">
                  <c:v>0.57852596566406378</c:v>
                </c:pt>
                <c:pt idx="7">
                  <c:v>0.61581172765399028</c:v>
                </c:pt>
                <c:pt idx="8">
                  <c:v>0.64906656682072206</c:v>
                </c:pt>
                <c:pt idx="9">
                  <c:v>0.67748557513713026</c:v>
                </c:pt>
                <c:pt idx="10">
                  <c:v>0.70036725753942042</c:v>
                </c:pt>
                <c:pt idx="11">
                  <c:v>0.71713859700962646</c:v>
                </c:pt>
                <c:pt idx="12">
                  <c:v>0.72737534115948321</c:v>
                </c:pt>
                <c:pt idx="13">
                  <c:v>0.73081688408737566</c:v>
                </c:pt>
                <c:pt idx="14">
                  <c:v>0.72737534115948321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73-44D0-996F-7B00CA55C99E}"/>
            </c:ext>
          </c:extLst>
        </c:ser>
        <c:ser>
          <c:idx val="15"/>
          <c:order val="15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'850S50_400'!$AL$55:$AL$69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'850S50_400'!$AW$55:$AW$69</c:f>
              <c:numCache>
                <c:formatCode>0%</c:formatCode>
                <c:ptCount val="15"/>
                <c:pt idx="0">
                  <c:v>0.27262465884051679</c:v>
                </c:pt>
                <c:pt idx="1">
                  <c:v>0.26918311591262434</c:v>
                </c:pt>
                <c:pt idx="2">
                  <c:v>0.27262465884051679</c:v>
                </c:pt>
                <c:pt idx="3">
                  <c:v>0.28286140299037354</c:v>
                </c:pt>
                <c:pt idx="4">
                  <c:v>0.29963274246057958</c:v>
                </c:pt>
                <c:pt idx="5">
                  <c:v>0.32251442486286974</c:v>
                </c:pt>
                <c:pt idx="6">
                  <c:v>0.35093343317927816</c:v>
                </c:pt>
                <c:pt idx="7">
                  <c:v>0.38418827234601016</c:v>
                </c:pt>
                <c:pt idx="8">
                  <c:v>0.42147403433593644</c:v>
                </c:pt>
                <c:pt idx="9">
                  <c:v>0.46191135672482275</c:v>
                </c:pt>
                <c:pt idx="10">
                  <c:v>0.50457811842595657</c:v>
                </c:pt>
                <c:pt idx="11">
                  <c:v>0.54854246763442771</c:v>
                </c:pt>
                <c:pt idx="12">
                  <c:v>0.59289559244152157</c:v>
                </c:pt>
                <c:pt idx="13">
                  <c:v>0.63678256332378336</c:v>
                </c:pt>
                <c:pt idx="14">
                  <c:v>0.67942962750821967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73-44D0-996F-7B00CA55C99E}"/>
            </c:ext>
          </c:extLst>
        </c:ser>
        <c:ser>
          <c:idx val="16"/>
          <c:order val="16"/>
          <c:tx>
            <c:strRef>
              <c:f>'850S50_400'!$AW$39:$AW$40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'850S50_400'!$AM$43:$AM$57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'850S50_400'!$AW$43:$AW$57</c:f>
              <c:numCache>
                <c:formatCode>0%</c:formatCode>
                <c:ptCount val="15"/>
                <c:pt idx="0">
                  <c:v>0.67942962750821922</c:v>
                </c:pt>
                <c:pt idx="1">
                  <c:v>0.63678256332378291</c:v>
                </c:pt>
                <c:pt idx="2">
                  <c:v>0.59289559244152135</c:v>
                </c:pt>
                <c:pt idx="3">
                  <c:v>0.54854246763442749</c:v>
                </c:pt>
                <c:pt idx="4">
                  <c:v>0.50457811842595657</c:v>
                </c:pt>
                <c:pt idx="5">
                  <c:v>0.46191135672482275</c:v>
                </c:pt>
                <c:pt idx="6">
                  <c:v>0.42147403433593622</c:v>
                </c:pt>
                <c:pt idx="7">
                  <c:v>0.38418827234600972</c:v>
                </c:pt>
                <c:pt idx="8">
                  <c:v>0.35093343317927794</c:v>
                </c:pt>
                <c:pt idx="9">
                  <c:v>0.32251442486286974</c:v>
                </c:pt>
                <c:pt idx="10">
                  <c:v>0.29963274246057958</c:v>
                </c:pt>
                <c:pt idx="11">
                  <c:v>0.28286140299037354</c:v>
                </c:pt>
                <c:pt idx="12">
                  <c:v>0.27262465884051679</c:v>
                </c:pt>
                <c:pt idx="13">
                  <c:v>0.26918311591262434</c:v>
                </c:pt>
                <c:pt idx="14">
                  <c:v>0.27262465884051679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073-44D0-996F-7B00CA55C99E}"/>
            </c:ext>
          </c:extLst>
        </c:ser>
        <c:ser>
          <c:idx val="17"/>
          <c:order val="17"/>
          <c:tx>
            <c:strRef>
              <c:f>'850S50_400'!$AI$8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'850S50_400'!$AJ$8:$AJ$9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'850S50_400'!$AK$8:$AK$9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73-44D0-996F-7B00CA55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6239"/>
        <c:axId val="1"/>
      </c:scatterChart>
      <c:valAx>
        <c:axId val="946836239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623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'850S50_500'!$B$15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'850S50_500'!$B$18:$B$38</c:f>
              <c:numCache>
                <c:formatCode>0.00</c:formatCode>
                <c:ptCount val="21"/>
                <c:pt idx="0">
                  <c:v>0.18837494620045753</c:v>
                </c:pt>
                <c:pt idx="1">
                  <c:v>0.19924273155817623</c:v>
                </c:pt>
                <c:pt idx="2">
                  <c:v>0.21011051691589497</c:v>
                </c:pt>
                <c:pt idx="3">
                  <c:v>0.22097830227361367</c:v>
                </c:pt>
                <c:pt idx="4">
                  <c:v>0.23184608763133235</c:v>
                </c:pt>
                <c:pt idx="5">
                  <c:v>0.24271387298905106</c:v>
                </c:pt>
                <c:pt idx="6">
                  <c:v>0.25358165834676977</c:v>
                </c:pt>
                <c:pt idx="7">
                  <c:v>0.26444944370448847</c:v>
                </c:pt>
                <c:pt idx="8">
                  <c:v>0.27531722906220724</c:v>
                </c:pt>
                <c:pt idx="9">
                  <c:v>0.28618501441992594</c:v>
                </c:pt>
                <c:pt idx="10">
                  <c:v>0.29705279977764465</c:v>
                </c:pt>
                <c:pt idx="11">
                  <c:v>0.30792058513536336</c:v>
                </c:pt>
                <c:pt idx="12">
                  <c:v>0.31878837049308206</c:v>
                </c:pt>
                <c:pt idx="13">
                  <c:v>0.32965615585080077</c:v>
                </c:pt>
                <c:pt idx="14">
                  <c:v>0.34052394120851948</c:v>
                </c:pt>
                <c:pt idx="15">
                  <c:v>0.35139172656623818</c:v>
                </c:pt>
                <c:pt idx="16">
                  <c:v>0.36225951192395695</c:v>
                </c:pt>
                <c:pt idx="17">
                  <c:v>0.37312729728167565</c:v>
                </c:pt>
                <c:pt idx="18">
                  <c:v>0.38399508263939436</c:v>
                </c:pt>
                <c:pt idx="19">
                  <c:v>0.39486286799711307</c:v>
                </c:pt>
                <c:pt idx="20">
                  <c:v>0.40573065335483177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9-42B0-A0AA-5216E49E283C}"/>
            </c:ext>
          </c:extLst>
        </c:ser>
        <c:ser>
          <c:idx val="0"/>
          <c:order val="1"/>
          <c:tx>
            <c:strRef>
              <c:f>'850S50_500'!$J$14:$J$15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'850S50_500'!$J$18:$J$38</c:f>
              <c:numCache>
                <c:formatCode>0.00</c:formatCode>
                <c:ptCount val="21"/>
                <c:pt idx="0">
                  <c:v>1.7946671923377524</c:v>
                </c:pt>
                <c:pt idx="1">
                  <c:v>1.9154561500528786</c:v>
                </c:pt>
                <c:pt idx="2">
                  <c:v>2.0434558624880594</c:v>
                </c:pt>
                <c:pt idx="3">
                  <c:v>2.1786840913676282</c:v>
                </c:pt>
                <c:pt idx="4">
                  <c:v>2.3211698426940779</c:v>
                </c:pt>
                <c:pt idx="5">
                  <c:v>2.4709583632551371</c:v>
                </c:pt>
                <c:pt idx="6">
                  <c:v>2.6281162758951844</c:v>
                </c:pt>
                <c:pt idx="7">
                  <c:v>2.7927368759819227</c:v>
                </c:pt>
                <c:pt idx="8">
                  <c:v>2.9649456529075442</c:v>
                </c:pt>
                <c:pt idx="9">
                  <c:v>3.1449061421490407</c:v>
                </c:pt>
                <c:pt idx="10">
                  <c:v>3.3328262570338314</c:v>
                </c:pt>
                <c:pt idx="11">
                  <c:v>3.5289652975859354</c:v>
                </c:pt>
                <c:pt idx="12">
                  <c:v>3.7336418904551296</c:v>
                </c:pt>
                <c:pt idx="13">
                  <c:v>3.9472431841512412</c:v>
                </c:pt>
                <c:pt idx="14">
                  <c:v>4.1702357147571281</c:v>
                </c:pt>
                <c:pt idx="15">
                  <c:v>4.4031784789787345</c:v>
                </c:pt>
                <c:pt idx="16">
                  <c:v>4.6467389181694552</c:v>
                </c:pt>
                <c:pt idx="17">
                  <c:v>4.901712749988099</c:v>
                </c:pt>
                <c:pt idx="18">
                  <c:v>5.169048915521099</c:v>
                </c:pt>
                <c:pt idx="19">
                  <c:v>5.4498813882986319</c:v>
                </c:pt>
                <c:pt idx="20">
                  <c:v>5.7455702955608787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9-42B0-A0AA-5216E49E283C}"/>
            </c:ext>
          </c:extLst>
        </c:ser>
        <c:ser>
          <c:idx val="6"/>
          <c:order val="2"/>
          <c:tx>
            <c:strRef>
              <c:f>'850S50_500'!$L$14:$L$15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9-42B0-A0AA-5216E49E283C}"/>
            </c:ext>
          </c:extLst>
        </c:ser>
        <c:ser>
          <c:idx val="3"/>
          <c:order val="3"/>
          <c:tx>
            <c:strRef>
              <c:f>'850S50_500'!$R$15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'850S50_500'!$R$18:$R$38</c:f>
              <c:numCache>
                <c:formatCode>0.00</c:formatCode>
                <c:ptCount val="21"/>
                <c:pt idx="0">
                  <c:v>0.13247670442069012</c:v>
                </c:pt>
                <c:pt idx="1">
                  <c:v>0.1353406814639492</c:v>
                </c:pt>
                <c:pt idx="2">
                  <c:v>0.13881647446778639</c:v>
                </c:pt>
                <c:pt idx="3">
                  <c:v>0.14295812703062638</c:v>
                </c:pt>
                <c:pt idx="4">
                  <c:v>0.14782909497496038</c:v>
                </c:pt>
                <c:pt idx="5">
                  <c:v>0.15350460177070008</c:v>
                </c:pt>
                <c:pt idx="6">
                  <c:v>0.16007442756762771</c:v>
                </c:pt>
                <c:pt idx="7">
                  <c:v>0.16764630437692979</c:v>
                </c:pt>
                <c:pt idx="8">
                  <c:v>0.17635014209633421</c:v>
                </c:pt>
                <c:pt idx="9">
                  <c:v>0.18634338527977742</c:v>
                </c:pt>
                <c:pt idx="10">
                  <c:v>0.19781791003371127</c:v>
                </c:pt>
                <c:pt idx="11">
                  <c:v>0.21100903146129804</c:v>
                </c:pt>
                <c:pt idx="12">
                  <c:v>0.22620743203161586</c:v>
                </c:pt>
                <c:pt idx="13">
                  <c:v>0.24377518447734645</c:v>
                </c:pt>
                <c:pt idx="14">
                  <c:v>0.26416760297117958</c:v>
                </c:pt>
                <c:pt idx="15">
                  <c:v>0.28796353890013687</c:v>
                </c:pt>
                <c:pt idx="16">
                  <c:v>0.315908162639707</c:v>
                </c:pt>
                <c:pt idx="17">
                  <c:v>0.34897463897841496</c:v>
                </c:pt>
                <c:pt idx="18">
                  <c:v>0.38845516032282151</c:v>
                </c:pt>
                <c:pt idx="19">
                  <c:v>0.43609901643601501</c:v>
                </c:pt>
                <c:pt idx="20">
                  <c:v>0.49432877232302713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9-42B0-A0AA-5216E49E283C}"/>
            </c:ext>
          </c:extLst>
        </c:ser>
        <c:ser>
          <c:idx val="5"/>
          <c:order val="4"/>
          <c:tx>
            <c:strRef>
              <c:f>'850S50_500'!$N$14:$N$15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9-42B0-A0AA-5216E49E283C}"/>
            </c:ext>
          </c:extLst>
        </c:ser>
        <c:ser>
          <c:idx val="2"/>
          <c:order val="5"/>
          <c:tx>
            <c:strRef>
              <c:f>'850S50_500'!$Q$15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'850S50_500'!$Q$18:$Q$38</c:f>
              <c:numCache>
                <c:formatCode>0.00</c:formatCode>
                <c:ptCount val="21"/>
                <c:pt idx="0">
                  <c:v>7.3378358244390358E-5</c:v>
                </c:pt>
                <c:pt idx="1">
                  <c:v>9.179228803440025E-5</c:v>
                </c:pt>
                <c:pt idx="2">
                  <c:v>1.1346379447354637E-4</c:v>
                </c:pt>
                <c:pt idx="3">
                  <c:v>1.3875341152066973E-4</c:v>
                </c:pt>
                <c:pt idx="4">
                  <c:v>1.6803988541192201E-4</c:v>
                </c:pt>
                <c:pt idx="5">
                  <c:v>2.0172003520524225E-4</c:v>
                </c:pt>
                <c:pt idx="6">
                  <c:v>2.4020860753336989E-4</c:v>
                </c:pt>
                <c:pt idx="7">
                  <c:v>2.8393812574435792E-4</c:v>
                </c:pt>
                <c:pt idx="8">
                  <c:v>3.3335873359047489E-4</c:v>
                </c:pt>
                <c:pt idx="9">
                  <c:v>3.8893803368073921E-4</c:v>
                </c:pt>
                <c:pt idx="10">
                  <c:v>4.5116092085301649E-4</c:v>
                </c:pt>
                <c:pt idx="11">
                  <c:v>5.2052941069740256E-4</c:v>
                </c:pt>
                <c:pt idx="12">
                  <c:v>5.9756246340256702E-4</c:v>
                </c:pt>
                <c:pt idx="13">
                  <c:v>6.827958031447916E-4</c:v>
                </c:pt>
                <c:pt idx="14">
                  <c:v>7.7678173323457098E-4</c:v>
                </c:pt>
                <c:pt idx="15">
                  <c:v>8.8008894722511573E-4</c:v>
                </c:pt>
                <c:pt idx="16">
                  <c:v>9.9330233620173979E-4</c:v>
                </c:pt>
                <c:pt idx="17">
                  <c:v>1.1170227924839366E-3</c:v>
                </c:pt>
                <c:pt idx="18">
                  <c:v>1.251867009949214E-3</c:v>
                </c:pt>
                <c:pt idx="19">
                  <c:v>1.3984672812268188E-3</c:v>
                </c:pt>
                <c:pt idx="20">
                  <c:v>1.5574712919647698E-3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9-42B0-A0AA-5216E49E283C}"/>
            </c:ext>
          </c:extLst>
        </c:ser>
        <c:ser>
          <c:idx val="4"/>
          <c:order val="6"/>
          <c:tx>
            <c:strRef>
              <c:f>'850S50_500'!$S$14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'850S50_500'!$S$18:$S$38</c:f>
              <c:numCache>
                <c:formatCode>0.00</c:formatCode>
                <c:ptCount val="21"/>
                <c:pt idx="0">
                  <c:v>0.14639944934977694</c:v>
                </c:pt>
                <c:pt idx="1">
                  <c:v>0.15908692892225956</c:v>
                </c:pt>
                <c:pt idx="2">
                  <c:v>0.17352806839874269</c:v>
                </c:pt>
                <c:pt idx="3">
                  <c:v>0.1899791308576127</c:v>
                </c:pt>
                <c:pt idx="4">
                  <c:v>0.20874905816964057</c:v>
                </c:pt>
                <c:pt idx="5">
                  <c:v>0.23021333403014582</c:v>
                </c:pt>
                <c:pt idx="6">
                  <c:v>0.25483236790438274</c:v>
                </c:pt>
                <c:pt idx="7">
                  <c:v>0.28317624949659176</c:v>
                </c:pt>
                <c:pt idx="8">
                  <c:v>0.31595864250009759</c:v>
                </c:pt>
                <c:pt idx="9">
                  <c:v>0.35408405986765729</c:v>
                </c:pt>
                <c:pt idx="10">
                  <c:v>0.39871519315750809</c:v>
                </c:pt>
                <c:pt idx="11">
                  <c:v>0.45137110882166592</c:v>
                </c:pt>
                <c:pt idx="12">
                  <c:v>0.5140744449596768</c:v>
                </c:pt>
                <c:pt idx="13">
                  <c:v>0.58957925763370045</c:v>
                </c:pt>
                <c:pt idx="14">
                  <c:v>0.68173742179352792</c:v>
                </c:pt>
                <c:pt idx="15">
                  <c:v>0.79611570390474751</c:v>
                </c:pt>
                <c:pt idx="16">
                  <c:v>0.94109621511036079</c:v>
                </c:pt>
                <c:pt idx="17">
                  <c:v>1.1299874792692235</c:v>
                </c:pt>
                <c:pt idx="18">
                  <c:v>1.385485519888412</c:v>
                </c:pt>
                <c:pt idx="19">
                  <c:v>1.7504677661962098</c:v>
                </c:pt>
                <c:pt idx="20">
                  <c:v>2.3200949237656356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09-42B0-A0AA-5216E49E283C}"/>
            </c:ext>
          </c:extLst>
        </c:ser>
        <c:ser>
          <c:idx val="8"/>
          <c:order val="7"/>
          <c:tx>
            <c:strRef>
              <c:f>'850S50_500'!$T$14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'850S50_500'!$T$18:$T$38</c:f>
              <c:numCache>
                <c:formatCode>0.0</c:formatCode>
                <c:ptCount val="21"/>
                <c:pt idx="0">
                  <c:v>2.5619916706669215</c:v>
                </c:pt>
                <c:pt idx="1">
                  <c:v>2.7092182842852979</c:v>
                </c:pt>
                <c:pt idx="2">
                  <c:v>2.8660243860649568</c:v>
                </c:pt>
                <c:pt idx="3">
                  <c:v>3.0327384049410018</c:v>
                </c:pt>
                <c:pt idx="4">
                  <c:v>3.2097621233554232</c:v>
                </c:pt>
                <c:pt idx="5">
                  <c:v>3.3975918920802393</c:v>
                </c:pt>
                <c:pt idx="6">
                  <c:v>3.5968449383214978</c:v>
                </c:pt>
                <c:pt idx="7">
                  <c:v>3.8082928116856771</c:v>
                </c:pt>
                <c:pt idx="8">
                  <c:v>4.0329050252997733</c:v>
                </c:pt>
                <c:pt idx="9">
                  <c:v>4.2719075397500816</c:v>
                </c:pt>
                <c:pt idx="10">
                  <c:v>4.5268633209235487</c:v>
                </c:pt>
                <c:pt idx="11">
                  <c:v>4.7997865524149601</c:v>
                </c:pt>
                <c:pt idx="12">
                  <c:v>5.0933097004029078</c:v>
                </c:pt>
                <c:pt idx="13">
                  <c:v>5.4109365779162335</c:v>
                </c:pt>
                <c:pt idx="14">
                  <c:v>5.7574414624635892</c:v>
                </c:pt>
                <c:pt idx="15">
                  <c:v>6.1395295372970811</c:v>
                </c:pt>
                <c:pt idx="16">
                  <c:v>6.5669961101796819</c:v>
                </c:pt>
                <c:pt idx="17">
                  <c:v>7.0549191883098974</c:v>
                </c:pt>
                <c:pt idx="18">
                  <c:v>7.6282365453816761</c:v>
                </c:pt>
                <c:pt idx="19">
                  <c:v>8.3327095062091967</c:v>
                </c:pt>
                <c:pt idx="20">
                  <c:v>9.2672821162963395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9-42B0-A0AA-5216E49E283C}"/>
            </c:ext>
          </c:extLst>
        </c:ser>
        <c:ser>
          <c:idx val="7"/>
          <c:order val="8"/>
          <c:tx>
            <c:strRef>
              <c:f>'850S50_500'!$AL$15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'850S50_500'!$AL$18:$AL$38</c:f>
              <c:numCache>
                <c:formatCode>General</c:formatCode>
                <c:ptCount val="21"/>
                <c:pt idx="0">
                  <c:v>5.23</c:v>
                </c:pt>
                <c:pt idx="1">
                  <c:v>5.23</c:v>
                </c:pt>
                <c:pt idx="2">
                  <c:v>5.23</c:v>
                </c:pt>
                <c:pt idx="3">
                  <c:v>5.23</c:v>
                </c:pt>
                <c:pt idx="4">
                  <c:v>5.23</c:v>
                </c:pt>
                <c:pt idx="5">
                  <c:v>5.23</c:v>
                </c:pt>
                <c:pt idx="6">
                  <c:v>5.23</c:v>
                </c:pt>
                <c:pt idx="7">
                  <c:v>5.23</c:v>
                </c:pt>
                <c:pt idx="8">
                  <c:v>5.23</c:v>
                </c:pt>
                <c:pt idx="9">
                  <c:v>5.23</c:v>
                </c:pt>
                <c:pt idx="10">
                  <c:v>5.23</c:v>
                </c:pt>
                <c:pt idx="11">
                  <c:v>5.23</c:v>
                </c:pt>
                <c:pt idx="12">
                  <c:v>5.23</c:v>
                </c:pt>
                <c:pt idx="13">
                  <c:v>5.23</c:v>
                </c:pt>
                <c:pt idx="14">
                  <c:v>5.23</c:v>
                </c:pt>
                <c:pt idx="15">
                  <c:v>5.23</c:v>
                </c:pt>
                <c:pt idx="16">
                  <c:v>5.23</c:v>
                </c:pt>
                <c:pt idx="17">
                  <c:v>5.23</c:v>
                </c:pt>
                <c:pt idx="18">
                  <c:v>5.23</c:v>
                </c:pt>
                <c:pt idx="19">
                  <c:v>5.23</c:v>
                </c:pt>
                <c:pt idx="20">
                  <c:v>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09-42B0-A0AA-5216E49E283C}"/>
            </c:ext>
          </c:extLst>
        </c:ser>
        <c:ser>
          <c:idx val="9"/>
          <c:order val="9"/>
          <c:tx>
            <c:strRef>
              <c:f>'850S50_500'!$AN$16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'850S50_500'!$AM$18:$AM$38</c:f>
              <c:numCache>
                <c:formatCode>General</c:formatCode>
                <c:ptCount val="21"/>
                <c:pt idx="0">
                  <c:v>8.2000000000000003E-2</c:v>
                </c:pt>
                <c:pt idx="1">
                  <c:v>8.2000000000000003E-2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8.2000000000000003E-2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8.2000000000000003E-2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8.2000000000000003E-2</c:v>
                </c:pt>
                <c:pt idx="18">
                  <c:v>8.2000000000000003E-2</c:v>
                </c:pt>
                <c:pt idx="19">
                  <c:v>8.2000000000000003E-2</c:v>
                </c:pt>
                <c:pt idx="20">
                  <c:v>8.2000000000000003E-2</c:v>
                </c:pt>
              </c:numCache>
            </c:numRef>
          </c:xVal>
          <c:yVal>
            <c:numRef>
              <c:f>'850S50_500'!$AN$18:$AN$38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9-42B0-A0AA-5216E49E283C}"/>
            </c:ext>
          </c:extLst>
        </c:ser>
        <c:ser>
          <c:idx val="10"/>
          <c:order val="10"/>
          <c:tx>
            <c:strRef>
              <c:f>'850S50_500'!$M$14:$M$15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'850S50_500'!$A$18:$A$38</c:f>
              <c:numCache>
                <c:formatCode>0.00#</c:formatCode>
                <c:ptCount val="21"/>
                <c:pt idx="0">
                  <c:v>5.1999999999999998E-2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6.1000000000000006E-2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7.0000000000000007E-2</c:v>
                </c:pt>
                <c:pt idx="7">
                  <c:v>7.3000000000000009E-2</c:v>
                </c:pt>
                <c:pt idx="8">
                  <c:v>7.6000000000000012E-2</c:v>
                </c:pt>
                <c:pt idx="9">
                  <c:v>7.9000000000000015E-2</c:v>
                </c:pt>
                <c:pt idx="10">
                  <c:v>8.2000000000000017E-2</c:v>
                </c:pt>
                <c:pt idx="11">
                  <c:v>8.500000000000002E-2</c:v>
                </c:pt>
                <c:pt idx="12">
                  <c:v>8.8000000000000023E-2</c:v>
                </c:pt>
                <c:pt idx="13">
                  <c:v>9.1000000000000025E-2</c:v>
                </c:pt>
                <c:pt idx="14">
                  <c:v>9.4000000000000028E-2</c:v>
                </c:pt>
                <c:pt idx="15">
                  <c:v>9.7000000000000031E-2</c:v>
                </c:pt>
                <c:pt idx="16">
                  <c:v>0.10000000000000003</c:v>
                </c:pt>
                <c:pt idx="17">
                  <c:v>0.10300000000000004</c:v>
                </c:pt>
                <c:pt idx="18">
                  <c:v>0.10600000000000004</c:v>
                </c:pt>
                <c:pt idx="19">
                  <c:v>0.10900000000000004</c:v>
                </c:pt>
                <c:pt idx="20">
                  <c:v>0.11200000000000004</c:v>
                </c:pt>
              </c:numCache>
            </c:numRef>
          </c:xVal>
          <c:yVal>
            <c:numRef>
              <c:f>'850S50_500'!$M$18:$M$38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09-42B0-A0AA-5216E49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4159"/>
        <c:axId val="1"/>
      </c:scatterChart>
      <c:valAx>
        <c:axId val="946834159"/>
        <c:scaling>
          <c:orientation val="minMax"/>
          <c:min val="0.0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41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Tx eye diagram (no noise)
Black: Test Rx    Blue: target link &amp; Rx</a:t>
            </a:r>
          </a:p>
        </c:rich>
      </c:tx>
      <c:layout>
        <c:manualLayout>
          <c:xMode val="edge"/>
          <c:yMode val="edge"/>
          <c:x val="0.21083266325925884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69061497497314E-2"/>
          <c:y val="0.22924311651424858"/>
          <c:w val="0.84902883312512345"/>
          <c:h val="0.6212820693936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D-4E16-A4FA-D43F3FD84A72}"/>
            </c:ext>
          </c:extLst>
        </c:ser>
        <c:ser>
          <c:idx val="1"/>
          <c:order val="1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D-4E16-A4FA-D43F3FD84A72}"/>
            </c:ext>
          </c:extLst>
        </c:ser>
        <c:ser>
          <c:idx val="2"/>
          <c:order val="2"/>
          <c:tx>
            <c:strRef>
              <c:f>'850S50_500'!$AD$40</c:f>
              <c:strCache>
                <c:ptCount val="1"/>
                <c:pt idx="0">
                  <c:v>erf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'850S50_500'!$AD$41:$AD$71</c:f>
              <c:numCache>
                <c:formatCode>0%</c:formatCode>
                <c:ptCount val="31"/>
                <c:pt idx="0">
                  <c:v>0.14810143829914296</c:v>
                </c:pt>
                <c:pt idx="1">
                  <c:v>0.19370580435912554</c:v>
                </c:pt>
                <c:pt idx="2">
                  <c:v>0.24697777493834139</c:v>
                </c:pt>
                <c:pt idx="3">
                  <c:v>0.30722163078201414</c:v>
                </c:pt>
                <c:pt idx="4">
                  <c:v>0.37317673852105016</c:v>
                </c:pt>
                <c:pt idx="5">
                  <c:v>0.44308134474993371</c:v>
                </c:pt>
                <c:pt idx="6">
                  <c:v>0.51480870477080842</c:v>
                </c:pt>
                <c:pt idx="7">
                  <c:v>0.58605882410097521</c:v>
                </c:pt>
                <c:pt idx="8">
                  <c:v>0.65457735475868184</c:v>
                </c:pt>
                <c:pt idx="9">
                  <c:v>0.71836729233804564</c:v>
                </c:pt>
                <c:pt idx="10">
                  <c:v>0.77586069270368441</c:v>
                </c:pt>
                <c:pt idx="11">
                  <c:v>0.82602623162377808</c:v>
                </c:pt>
                <c:pt idx="12">
                  <c:v>0.86840171071768879</c:v>
                </c:pt>
                <c:pt idx="13">
                  <c:v>0.90305507402440544</c:v>
                </c:pt>
                <c:pt idx="14">
                  <c:v>0.93048961944384967</c:v>
                </c:pt>
                <c:pt idx="15">
                  <c:v>0.95151634869838442</c:v>
                </c:pt>
                <c:pt idx="16">
                  <c:v>0.96711787980683472</c:v>
                </c:pt>
                <c:pt idx="17">
                  <c:v>0.9783247470648917</c:v>
                </c:pt>
                <c:pt idx="18">
                  <c:v>0.98611807051552258</c:v>
                </c:pt>
                <c:pt idx="19">
                  <c:v>0.99136472659847841</c:v>
                </c:pt>
                <c:pt idx="20">
                  <c:v>0.99478423651007875</c:v>
                </c:pt>
                <c:pt idx="21">
                  <c:v>0.99694181427565065</c:v>
                </c:pt>
                <c:pt idx="22">
                  <c:v>0.9982597381159557</c:v>
                </c:pt>
                <c:pt idx="23">
                  <c:v>0.99903909320460726</c:v>
                </c:pt>
                <c:pt idx="24">
                  <c:v>0.99948526445021102</c:v>
                </c:pt>
                <c:pt idx="25">
                  <c:v>0.99973254437158954</c:v>
                </c:pt>
                <c:pt idx="26">
                  <c:v>0.99986522182659432</c:v>
                </c:pt>
                <c:pt idx="27">
                  <c:v>0.99993413882246451</c:v>
                </c:pt>
                <c:pt idx="28">
                  <c:v>0.99996879465947108</c:v>
                </c:pt>
                <c:pt idx="29">
                  <c:v>0.99998566590761317</c:v>
                </c:pt>
                <c:pt idx="30">
                  <c:v>0.99999361721813584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D-4E16-A4FA-D43F3FD84A72}"/>
            </c:ext>
          </c:extLst>
        </c:ser>
        <c:ser>
          <c:idx val="3"/>
          <c:order val="3"/>
          <c:tx>
            <c:strRef>
              <c:f>'850S50_500'!$AE$40</c:f>
              <c:strCache>
                <c:ptCount val="1"/>
                <c:pt idx="0">
                  <c:v>erf 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'850S50_500'!$AE$41:$AE$71</c:f>
              <c:numCache>
                <c:formatCode>0%</c:formatCode>
                <c:ptCount val="31"/>
                <c:pt idx="0">
                  <c:v>0.99999361721813584</c:v>
                </c:pt>
                <c:pt idx="1">
                  <c:v>0.99998566590761317</c:v>
                </c:pt>
                <c:pt idx="2">
                  <c:v>0.99996879465947108</c:v>
                </c:pt>
                <c:pt idx="3">
                  <c:v>0.99993413882246451</c:v>
                </c:pt>
                <c:pt idx="4">
                  <c:v>0.99986522182659432</c:v>
                </c:pt>
                <c:pt idx="5">
                  <c:v>0.99973254437158954</c:v>
                </c:pt>
                <c:pt idx="6">
                  <c:v>0.99948526445021102</c:v>
                </c:pt>
                <c:pt idx="7">
                  <c:v>0.99903909320460726</c:v>
                </c:pt>
                <c:pt idx="8">
                  <c:v>0.9982597381159557</c:v>
                </c:pt>
                <c:pt idx="9">
                  <c:v>0.99694181427565065</c:v>
                </c:pt>
                <c:pt idx="10">
                  <c:v>0.99478423651007875</c:v>
                </c:pt>
                <c:pt idx="11">
                  <c:v>0.99136472659847841</c:v>
                </c:pt>
                <c:pt idx="12">
                  <c:v>0.98611807051552258</c:v>
                </c:pt>
                <c:pt idx="13">
                  <c:v>0.9783247470648917</c:v>
                </c:pt>
                <c:pt idx="14">
                  <c:v>0.96711787980683472</c:v>
                </c:pt>
                <c:pt idx="15">
                  <c:v>0.95151634869838442</c:v>
                </c:pt>
                <c:pt idx="16">
                  <c:v>0.93048961944384967</c:v>
                </c:pt>
                <c:pt idx="17">
                  <c:v>0.90305507402440555</c:v>
                </c:pt>
                <c:pt idx="18">
                  <c:v>0.86840171071768879</c:v>
                </c:pt>
                <c:pt idx="19">
                  <c:v>0.82602623162377797</c:v>
                </c:pt>
                <c:pt idx="20">
                  <c:v>0.77586069270368441</c:v>
                </c:pt>
                <c:pt idx="21">
                  <c:v>0.71836729233804542</c:v>
                </c:pt>
                <c:pt idx="22">
                  <c:v>0.65457735475868162</c:v>
                </c:pt>
                <c:pt idx="23">
                  <c:v>0.58605882410097476</c:v>
                </c:pt>
                <c:pt idx="24">
                  <c:v>0.51480870477080809</c:v>
                </c:pt>
                <c:pt idx="25">
                  <c:v>0.44308134474993344</c:v>
                </c:pt>
                <c:pt idx="26">
                  <c:v>0.37317673852104988</c:v>
                </c:pt>
                <c:pt idx="27">
                  <c:v>0.30722163078201375</c:v>
                </c:pt>
                <c:pt idx="28">
                  <c:v>0.24697777493834094</c:v>
                </c:pt>
                <c:pt idx="29">
                  <c:v>0.19370580435912527</c:v>
                </c:pt>
                <c:pt idx="30">
                  <c:v>0.14810143829914252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D-4E16-A4FA-D43F3FD84A72}"/>
            </c:ext>
          </c:extLst>
        </c:ser>
        <c:ser>
          <c:idx val="4"/>
          <c:order val="4"/>
          <c:tx>
            <c:strRef>
              <c:f>'850S50_500'!$AF$40</c:f>
              <c:strCache>
                <c:ptCount val="1"/>
                <c:pt idx="0">
                  <c:v>oio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D-4E16-A4FA-D43F3FD84A72}"/>
            </c:ext>
          </c:extLst>
        </c:ser>
        <c:ser>
          <c:idx val="5"/>
          <c:order val="5"/>
          <c:tx>
            <c:strRef>
              <c:f>'850S50_500'!$AG$40</c:f>
              <c:strCache>
                <c:ptCount val="1"/>
                <c:pt idx="0">
                  <c:v>erf1'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'850S50_500'!$AG$41:$AG$71</c:f>
              <c:numCache>
                <c:formatCode>0%</c:formatCode>
                <c:ptCount val="31"/>
                <c:pt idx="0">
                  <c:v>0.85189856170085698</c:v>
                </c:pt>
                <c:pt idx="1">
                  <c:v>0.80629419564087446</c:v>
                </c:pt>
                <c:pt idx="2">
                  <c:v>0.75302222506165861</c:v>
                </c:pt>
                <c:pt idx="3">
                  <c:v>0.69277836921798586</c:v>
                </c:pt>
                <c:pt idx="4">
                  <c:v>0.62682326147894984</c:v>
                </c:pt>
                <c:pt idx="5">
                  <c:v>0.55691865525006623</c:v>
                </c:pt>
                <c:pt idx="6">
                  <c:v>0.48519129522919158</c:v>
                </c:pt>
                <c:pt idx="7">
                  <c:v>0.41394117589902479</c:v>
                </c:pt>
                <c:pt idx="8">
                  <c:v>0.34542264524131816</c:v>
                </c:pt>
                <c:pt idx="9">
                  <c:v>0.28163270766195436</c:v>
                </c:pt>
                <c:pt idx="10">
                  <c:v>0.22413930729631559</c:v>
                </c:pt>
                <c:pt idx="11">
                  <c:v>0.17397376837622192</c:v>
                </c:pt>
                <c:pt idx="12">
                  <c:v>0.13159828928231121</c:v>
                </c:pt>
                <c:pt idx="13">
                  <c:v>9.6944925975594565E-2</c:v>
                </c:pt>
                <c:pt idx="14">
                  <c:v>6.9510380556150331E-2</c:v>
                </c:pt>
                <c:pt idx="15">
                  <c:v>4.8483651301615582E-2</c:v>
                </c:pt>
                <c:pt idx="16">
                  <c:v>3.2882120193165276E-2</c:v>
                </c:pt>
                <c:pt idx="17">
                  <c:v>2.1675252935108302E-2</c:v>
                </c:pt>
                <c:pt idx="18">
                  <c:v>1.3881929484477418E-2</c:v>
                </c:pt>
                <c:pt idx="19">
                  <c:v>8.6352734015215926E-3</c:v>
                </c:pt>
                <c:pt idx="20">
                  <c:v>5.2157634899212546E-3</c:v>
                </c:pt>
                <c:pt idx="21">
                  <c:v>3.0581857243493493E-3</c:v>
                </c:pt>
                <c:pt idx="22">
                  <c:v>1.7402618840443029E-3</c:v>
                </c:pt>
                <c:pt idx="23">
                  <c:v>9.6090679539273527E-4</c:v>
                </c:pt>
                <c:pt idx="24">
                  <c:v>5.1473554978898051E-4</c:v>
                </c:pt>
                <c:pt idx="25">
                  <c:v>2.6745562841046233E-4</c:v>
                </c:pt>
                <c:pt idx="26">
                  <c:v>1.3477817340568077E-4</c:v>
                </c:pt>
                <c:pt idx="27">
                  <c:v>6.5861177535486704E-5</c:v>
                </c:pt>
                <c:pt idx="28">
                  <c:v>3.1205340528916992E-5</c:v>
                </c:pt>
                <c:pt idx="29">
                  <c:v>1.4334092386825148E-5</c:v>
                </c:pt>
                <c:pt idx="30">
                  <c:v>6.382781864155973E-6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D-4E16-A4FA-D43F3FD84A72}"/>
            </c:ext>
          </c:extLst>
        </c:ser>
        <c:ser>
          <c:idx val="6"/>
          <c:order val="6"/>
          <c:tx>
            <c:strRef>
              <c:f>'850S50_500'!$AH$40</c:f>
              <c:strCache>
                <c:ptCount val="1"/>
                <c:pt idx="0">
                  <c:v>erf2'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'850S50_500'!$AH$41:$AH$71</c:f>
              <c:numCache>
                <c:formatCode>0%</c:formatCode>
                <c:ptCount val="31"/>
                <c:pt idx="0">
                  <c:v>6.382781864155973E-6</c:v>
                </c:pt>
                <c:pt idx="1">
                  <c:v>1.4334092386825148E-5</c:v>
                </c:pt>
                <c:pt idx="2">
                  <c:v>3.1205340528916992E-5</c:v>
                </c:pt>
                <c:pt idx="3">
                  <c:v>6.5861177535486704E-5</c:v>
                </c:pt>
                <c:pt idx="4">
                  <c:v>1.3477817340568077E-4</c:v>
                </c:pt>
                <c:pt idx="5">
                  <c:v>2.6745562841046233E-4</c:v>
                </c:pt>
                <c:pt idx="6">
                  <c:v>5.1473554978898051E-4</c:v>
                </c:pt>
                <c:pt idx="7">
                  <c:v>9.6090679539273527E-4</c:v>
                </c:pt>
                <c:pt idx="8">
                  <c:v>1.7402618840443029E-3</c:v>
                </c:pt>
                <c:pt idx="9">
                  <c:v>3.0581857243493493E-3</c:v>
                </c:pt>
                <c:pt idx="10">
                  <c:v>5.2157634899212546E-3</c:v>
                </c:pt>
                <c:pt idx="11">
                  <c:v>8.6352734015215926E-3</c:v>
                </c:pt>
                <c:pt idx="12">
                  <c:v>1.3881929484477418E-2</c:v>
                </c:pt>
                <c:pt idx="13">
                  <c:v>2.1675252935108302E-2</c:v>
                </c:pt>
                <c:pt idx="14">
                  <c:v>3.2882120193165276E-2</c:v>
                </c:pt>
                <c:pt idx="15">
                  <c:v>4.8483651301615582E-2</c:v>
                </c:pt>
                <c:pt idx="16">
                  <c:v>6.9510380556150331E-2</c:v>
                </c:pt>
                <c:pt idx="17">
                  <c:v>9.6944925975594454E-2</c:v>
                </c:pt>
                <c:pt idx="18">
                  <c:v>0.13159828928231121</c:v>
                </c:pt>
                <c:pt idx="19">
                  <c:v>0.17397376837622203</c:v>
                </c:pt>
                <c:pt idx="20">
                  <c:v>0.22413930729631559</c:v>
                </c:pt>
                <c:pt idx="21">
                  <c:v>0.28163270766195458</c:v>
                </c:pt>
                <c:pt idx="22">
                  <c:v>0.34542264524131838</c:v>
                </c:pt>
                <c:pt idx="23">
                  <c:v>0.41394117589902524</c:v>
                </c:pt>
                <c:pt idx="24">
                  <c:v>0.48519129522919191</c:v>
                </c:pt>
                <c:pt idx="25">
                  <c:v>0.55691865525006656</c:v>
                </c:pt>
                <c:pt idx="26">
                  <c:v>0.62682326147895018</c:v>
                </c:pt>
                <c:pt idx="27">
                  <c:v>0.6927783692179863</c:v>
                </c:pt>
                <c:pt idx="28">
                  <c:v>0.75302222506165906</c:v>
                </c:pt>
                <c:pt idx="29">
                  <c:v>0.80629419564087468</c:v>
                </c:pt>
                <c:pt idx="30">
                  <c:v>0.85189856170085743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1D-4E16-A4FA-D43F3FD84A72}"/>
            </c:ext>
          </c:extLst>
        </c:ser>
        <c:ser>
          <c:idx val="7"/>
          <c:order val="7"/>
          <c:tx>
            <c:strRef>
              <c:f>'850S50_500'!$AI$40</c:f>
              <c:strCache>
                <c:ptCount val="1"/>
                <c:pt idx="0">
                  <c:v>ioi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'850S50_500'!$Z$41:$Z$71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1D-4E16-A4FA-D43F3FD84A72}"/>
            </c:ext>
          </c:extLst>
        </c:ser>
        <c:ser>
          <c:idx val="8"/>
          <c:order val="8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1D-4E16-A4FA-D43F3FD84A72}"/>
            </c:ext>
          </c:extLst>
        </c:ser>
        <c:ser>
          <c:idx val="9"/>
          <c:order val="9"/>
          <c:tx>
            <c:strRef>
              <c:f>'850S50_500'!$AO$40</c:f>
              <c:strCache>
                <c:ptCount val="1"/>
                <c:pt idx="0">
                  <c:v>Eye mask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'850S50_500'!$AN$41:$AN$47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0.3</c:v>
                </c:pt>
              </c:numCache>
            </c:numRef>
          </c:xVal>
          <c:yVal>
            <c:numRef>
              <c:f>'850S50_500'!$AO$41:$AO$47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1D-4E16-A4FA-D43F3FD84A72}"/>
            </c:ext>
          </c:extLst>
        </c:ser>
        <c:ser>
          <c:idx val="10"/>
          <c:order val="10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'850S50_500'!$AF$41:$AF$71</c:f>
              <c:numCache>
                <c:formatCode>0%</c:formatCode>
                <c:ptCount val="31"/>
                <c:pt idx="0">
                  <c:v>0.14809505551727886</c:v>
                </c:pt>
                <c:pt idx="1">
                  <c:v>0.19369147026673872</c:v>
                </c:pt>
                <c:pt idx="2">
                  <c:v>0.24694656959781236</c:v>
                </c:pt>
                <c:pt idx="3">
                  <c:v>0.30715576960447866</c:v>
                </c:pt>
                <c:pt idx="4">
                  <c:v>0.37304196034764447</c:v>
                </c:pt>
                <c:pt idx="5">
                  <c:v>0.4428138891215232</c:v>
                </c:pt>
                <c:pt idx="6">
                  <c:v>0.51429396922101933</c:v>
                </c:pt>
                <c:pt idx="7">
                  <c:v>0.58509791730558236</c:v>
                </c:pt>
                <c:pt idx="8">
                  <c:v>0.65283709287463765</c:v>
                </c:pt>
                <c:pt idx="9">
                  <c:v>0.71530910661369629</c:v>
                </c:pt>
                <c:pt idx="10">
                  <c:v>0.77064492921376315</c:v>
                </c:pt>
                <c:pt idx="11">
                  <c:v>0.81739095822225649</c:v>
                </c:pt>
                <c:pt idx="12">
                  <c:v>0.85451978123321126</c:v>
                </c:pt>
                <c:pt idx="13">
                  <c:v>0.88137982108929713</c:v>
                </c:pt>
                <c:pt idx="14">
                  <c:v>0.89760749925068439</c:v>
                </c:pt>
                <c:pt idx="15">
                  <c:v>0.90303269739676884</c:v>
                </c:pt>
                <c:pt idx="16">
                  <c:v>0.89760749925068439</c:v>
                </c:pt>
                <c:pt idx="17">
                  <c:v>0.88137982108929736</c:v>
                </c:pt>
                <c:pt idx="18">
                  <c:v>0.85451978123321126</c:v>
                </c:pt>
                <c:pt idx="19">
                  <c:v>0.81739095822225627</c:v>
                </c:pt>
                <c:pt idx="20">
                  <c:v>0.77064492921376315</c:v>
                </c:pt>
                <c:pt idx="21">
                  <c:v>0.71530910661369607</c:v>
                </c:pt>
                <c:pt idx="22">
                  <c:v>0.6528370928746372</c:v>
                </c:pt>
                <c:pt idx="23">
                  <c:v>0.58509791730558192</c:v>
                </c:pt>
                <c:pt idx="24">
                  <c:v>0.51429396922101911</c:v>
                </c:pt>
                <c:pt idx="25">
                  <c:v>0.44281388912152297</c:v>
                </c:pt>
                <c:pt idx="26">
                  <c:v>0.37304196034764425</c:v>
                </c:pt>
                <c:pt idx="27">
                  <c:v>0.30715576960447821</c:v>
                </c:pt>
                <c:pt idx="28">
                  <c:v>0.24694656959781192</c:v>
                </c:pt>
                <c:pt idx="29">
                  <c:v>0.1936914702667385</c:v>
                </c:pt>
                <c:pt idx="30">
                  <c:v>0.14809505551727842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1D-4E16-A4FA-D43F3FD84A72}"/>
            </c:ext>
          </c:extLst>
        </c:ser>
        <c:ser>
          <c:idx val="11"/>
          <c:order val="11"/>
          <c:tx>
            <c:strRef>
              <c:f>'850S50_500'!$AL$40</c:f>
              <c:strCache>
                <c:ptCount val="1"/>
                <c:pt idx="0">
                  <c:v>Early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'850S50_500'!$AL$41:$AL$71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1D-4E16-A4FA-D43F3FD84A72}"/>
            </c:ext>
          </c:extLst>
        </c:ser>
        <c:ser>
          <c:idx val="12"/>
          <c:order val="12"/>
          <c:tx>
            <c:strRef>
              <c:f>'850S50_500'!$AM$40</c:f>
              <c:strCache>
                <c:ptCount val="1"/>
                <c:pt idx="0">
                  <c:v>Late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'850S50_500'!$AM$41:$AM$71</c:f>
              <c:numCache>
                <c:formatCode>General</c:formatCode>
                <c:ptCount val="31"/>
                <c:pt idx="0">
                  <c:v>-0.25</c:v>
                </c:pt>
                <c:pt idx="1">
                  <c:v>-0.2</c:v>
                </c:pt>
                <c:pt idx="2">
                  <c:v>-0.15000000000000002</c:v>
                </c:pt>
                <c:pt idx="3">
                  <c:v>-0.10000000000000002</c:v>
                </c:pt>
                <c:pt idx="4">
                  <c:v>-5.0000000000000017E-2</c:v>
                </c:pt>
                <c:pt idx="5">
                  <c:v>0</c:v>
                </c:pt>
                <c:pt idx="6">
                  <c:v>0.05</c:v>
                </c:pt>
                <c:pt idx="7">
                  <c:v>0.1</c:v>
                </c:pt>
                <c:pt idx="8">
                  <c:v>0.15000000000000002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0.39999999999999997</c:v>
                </c:pt>
                <c:pt idx="14">
                  <c:v>0.44999999999999996</c:v>
                </c:pt>
                <c:pt idx="15">
                  <c:v>0.49999999999999994</c:v>
                </c:pt>
                <c:pt idx="16">
                  <c:v>0.54999999999999993</c:v>
                </c:pt>
                <c:pt idx="17">
                  <c:v>0.6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0.75000000000000011</c:v>
                </c:pt>
                <c:pt idx="21">
                  <c:v>0.80000000000000016</c:v>
                </c:pt>
                <c:pt idx="22">
                  <c:v>0.8500000000000002</c:v>
                </c:pt>
                <c:pt idx="23">
                  <c:v>0.90000000000000024</c:v>
                </c:pt>
                <c:pt idx="24">
                  <c:v>0.95000000000000029</c:v>
                </c:pt>
                <c:pt idx="25">
                  <c:v>1.0000000000000002</c:v>
                </c:pt>
                <c:pt idx="26">
                  <c:v>1.0500000000000003</c:v>
                </c:pt>
                <c:pt idx="27">
                  <c:v>1.1000000000000003</c:v>
                </c:pt>
                <c:pt idx="28">
                  <c:v>1.1500000000000004</c:v>
                </c:pt>
                <c:pt idx="29">
                  <c:v>1.2000000000000004</c:v>
                </c:pt>
                <c:pt idx="30">
                  <c:v>1.2500000000000004</c:v>
                </c:pt>
              </c:numCache>
            </c:numRef>
          </c:xVal>
          <c:yVal>
            <c:numRef>
              <c:f>'850S50_500'!$AI$41:$AI$71</c:f>
              <c:numCache>
                <c:formatCode>0%</c:formatCode>
                <c:ptCount val="31"/>
                <c:pt idx="0">
                  <c:v>0.85190494448272114</c:v>
                </c:pt>
                <c:pt idx="1">
                  <c:v>0.80630852973326128</c:v>
                </c:pt>
                <c:pt idx="2">
                  <c:v>0.75305343040218764</c:v>
                </c:pt>
                <c:pt idx="3">
                  <c:v>0.69284423039552134</c:v>
                </c:pt>
                <c:pt idx="4">
                  <c:v>0.62695803965235553</c:v>
                </c:pt>
                <c:pt idx="5">
                  <c:v>0.5571861108784768</c:v>
                </c:pt>
                <c:pt idx="6">
                  <c:v>0.48570603077898067</c:v>
                </c:pt>
                <c:pt idx="7">
                  <c:v>0.41490208269441764</c:v>
                </c:pt>
                <c:pt idx="8">
                  <c:v>0.34716290712536235</c:v>
                </c:pt>
                <c:pt idx="9">
                  <c:v>0.28469089338630371</c:v>
                </c:pt>
                <c:pt idx="10">
                  <c:v>0.22935507078623685</c:v>
                </c:pt>
                <c:pt idx="11">
                  <c:v>0.18260904177774351</c:v>
                </c:pt>
                <c:pt idx="12">
                  <c:v>0.14548021876678874</c:v>
                </c:pt>
                <c:pt idx="13">
                  <c:v>0.11862017891070287</c:v>
                </c:pt>
                <c:pt idx="14">
                  <c:v>0.10239250074931561</c:v>
                </c:pt>
                <c:pt idx="15">
                  <c:v>9.6967302603231165E-2</c:v>
                </c:pt>
                <c:pt idx="16">
                  <c:v>0.10239250074931561</c:v>
                </c:pt>
                <c:pt idx="17">
                  <c:v>0.11862017891070264</c:v>
                </c:pt>
                <c:pt idx="18">
                  <c:v>0.14548021876678874</c:v>
                </c:pt>
                <c:pt idx="19">
                  <c:v>0.18260904177774373</c:v>
                </c:pt>
                <c:pt idx="20">
                  <c:v>0.22935507078623685</c:v>
                </c:pt>
                <c:pt idx="21">
                  <c:v>0.28469089338630393</c:v>
                </c:pt>
                <c:pt idx="22">
                  <c:v>0.3471629071253628</c:v>
                </c:pt>
                <c:pt idx="23">
                  <c:v>0.41490208269441808</c:v>
                </c:pt>
                <c:pt idx="24">
                  <c:v>0.48570603077898089</c:v>
                </c:pt>
                <c:pt idx="25">
                  <c:v>0.55718611087847703</c:v>
                </c:pt>
                <c:pt idx="26">
                  <c:v>0.62695803965235575</c:v>
                </c:pt>
                <c:pt idx="27">
                  <c:v>0.69284423039552179</c:v>
                </c:pt>
                <c:pt idx="28">
                  <c:v>0.75305343040218808</c:v>
                </c:pt>
                <c:pt idx="29">
                  <c:v>0.8063085297332615</c:v>
                </c:pt>
                <c:pt idx="30">
                  <c:v>0.85190494448272158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1D-4E16-A4FA-D43F3FD84A72}"/>
            </c:ext>
          </c:extLst>
        </c:ser>
        <c:ser>
          <c:idx val="13"/>
          <c:order val="13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'850S50_500'!$AT$55:$AT$69</c:f>
              <c:numCache>
                <c:formatCode>0%</c:formatCode>
                <c:ptCount val="15"/>
                <c:pt idx="0">
                  <c:v>0.72864850461371589</c:v>
                </c:pt>
                <c:pt idx="1">
                  <c:v>0.73210654054093838</c:v>
                </c:pt>
                <c:pt idx="2">
                  <c:v>0.72864850461371589</c:v>
                </c:pt>
                <c:pt idx="3">
                  <c:v>0.71836285217945894</c:v>
                </c:pt>
                <c:pt idx="4">
                  <c:v>0.7015118887922287</c:v>
                </c:pt>
                <c:pt idx="5">
                  <c:v>0.67852265558136415</c:v>
                </c:pt>
                <c:pt idx="6">
                  <c:v>0.64997197380464922</c:v>
                </c:pt>
                <c:pt idx="7">
                  <c:v>0.61656604271244642</c:v>
                </c:pt>
                <c:pt idx="8">
                  <c:v>0.57911520988613252</c:v>
                </c:pt>
                <c:pt idx="9">
                  <c:v>0.53850479629016901</c:v>
                </c:pt>
                <c:pt idx="10">
                  <c:v>0.49566313636217707</c:v>
                </c:pt>
                <c:pt idx="11">
                  <c:v>0.45152825011922815</c:v>
                </c:pt>
                <c:pt idx="12">
                  <c:v>0.40701475645034213</c:v>
                </c:pt>
                <c:pt idx="13">
                  <c:v>0.36298272360551609</c:v>
                </c:pt>
                <c:pt idx="14">
                  <c:v>0.32021010437417363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1D-4E16-A4FA-D43F3FD84A72}"/>
            </c:ext>
          </c:extLst>
        </c:ser>
        <c:ser>
          <c:idx val="14"/>
          <c:order val="14"/>
          <c:tx>
            <c:strRef>
              <c:f>'850S50_500'!$AT$39:$AT$40</c:f>
              <c:strCache>
                <c:ptCount val="2"/>
                <c:pt idx="0">
                  <c:v>Txvr/link</c:v>
                </c:pt>
                <c:pt idx="1">
                  <c:v>oio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'850S50_500'!$AT$43:$AT$57</c:f>
              <c:numCache>
                <c:formatCode>0%</c:formatCode>
                <c:ptCount val="15"/>
                <c:pt idx="0">
                  <c:v>0.32021010437417408</c:v>
                </c:pt>
                <c:pt idx="1">
                  <c:v>0.36298272360551631</c:v>
                </c:pt>
                <c:pt idx="2">
                  <c:v>0.40701475645034213</c:v>
                </c:pt>
                <c:pt idx="3">
                  <c:v>0.45152825011922815</c:v>
                </c:pt>
                <c:pt idx="4">
                  <c:v>0.49566313636217707</c:v>
                </c:pt>
                <c:pt idx="5">
                  <c:v>0.53850479629016901</c:v>
                </c:pt>
                <c:pt idx="6">
                  <c:v>0.57911520988613274</c:v>
                </c:pt>
                <c:pt idx="7">
                  <c:v>0.61656604271244664</c:v>
                </c:pt>
                <c:pt idx="8">
                  <c:v>0.64997197380464966</c:v>
                </c:pt>
                <c:pt idx="9">
                  <c:v>0.67852265558136438</c:v>
                </c:pt>
                <c:pt idx="10">
                  <c:v>0.7015118887922287</c:v>
                </c:pt>
                <c:pt idx="11">
                  <c:v>0.71836285217945894</c:v>
                </c:pt>
                <c:pt idx="12">
                  <c:v>0.72864850461371589</c:v>
                </c:pt>
                <c:pt idx="13">
                  <c:v>0.73210654054093838</c:v>
                </c:pt>
                <c:pt idx="14">
                  <c:v>0.72864850461371589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1D-4E16-A4FA-D43F3FD84A72}"/>
            </c:ext>
          </c:extLst>
        </c:ser>
        <c:ser>
          <c:idx val="15"/>
          <c:order val="15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xVal>
            <c:numRef>
              <c:f>'850S50_500'!$AL$55:$AL$69</c:f>
              <c:numCache>
                <c:formatCode>General</c:formatCode>
                <c:ptCount val="15"/>
                <c:pt idx="0">
                  <c:v>0.44999999999999996</c:v>
                </c:pt>
                <c:pt idx="1">
                  <c:v>0.49999999999999994</c:v>
                </c:pt>
                <c:pt idx="2">
                  <c:v>0.54999999999999993</c:v>
                </c:pt>
                <c:pt idx="3">
                  <c:v>0.6</c:v>
                </c:pt>
                <c:pt idx="4">
                  <c:v>0.65</c:v>
                </c:pt>
                <c:pt idx="5">
                  <c:v>0.70000000000000007</c:v>
                </c:pt>
                <c:pt idx="6">
                  <c:v>0.75000000000000011</c:v>
                </c:pt>
                <c:pt idx="7">
                  <c:v>0.80000000000000016</c:v>
                </c:pt>
                <c:pt idx="8">
                  <c:v>0.8500000000000002</c:v>
                </c:pt>
                <c:pt idx="9">
                  <c:v>0.90000000000000024</c:v>
                </c:pt>
                <c:pt idx="10">
                  <c:v>0.95000000000000029</c:v>
                </c:pt>
                <c:pt idx="11">
                  <c:v>1.0000000000000002</c:v>
                </c:pt>
                <c:pt idx="12">
                  <c:v>1.0500000000000003</c:v>
                </c:pt>
                <c:pt idx="13">
                  <c:v>1.1000000000000003</c:v>
                </c:pt>
                <c:pt idx="14">
                  <c:v>1.1500000000000004</c:v>
                </c:pt>
              </c:numCache>
            </c:numRef>
          </c:xVal>
          <c:yVal>
            <c:numRef>
              <c:f>'850S50_500'!$AW$55:$AW$69</c:f>
              <c:numCache>
                <c:formatCode>0%</c:formatCode>
                <c:ptCount val="15"/>
                <c:pt idx="0">
                  <c:v>0.27135149538628411</c:v>
                </c:pt>
                <c:pt idx="1">
                  <c:v>0.26789345945906162</c:v>
                </c:pt>
                <c:pt idx="2">
                  <c:v>0.27135149538628411</c:v>
                </c:pt>
                <c:pt idx="3">
                  <c:v>0.28163714782054106</c:v>
                </c:pt>
                <c:pt idx="4">
                  <c:v>0.2984881112077713</c:v>
                </c:pt>
                <c:pt idx="5">
                  <c:v>0.32147734441863585</c:v>
                </c:pt>
                <c:pt idx="6">
                  <c:v>0.35002802619535078</c:v>
                </c:pt>
                <c:pt idx="7">
                  <c:v>0.38343395728755358</c:v>
                </c:pt>
                <c:pt idx="8">
                  <c:v>0.42088479011386748</c:v>
                </c:pt>
                <c:pt idx="9">
                  <c:v>0.46149520370983099</c:v>
                </c:pt>
                <c:pt idx="10">
                  <c:v>0.50433686363782293</c:v>
                </c:pt>
                <c:pt idx="11">
                  <c:v>0.54847174988077185</c:v>
                </c:pt>
                <c:pt idx="12">
                  <c:v>0.59298524354965787</c:v>
                </c:pt>
                <c:pt idx="13">
                  <c:v>0.63701727639448391</c:v>
                </c:pt>
                <c:pt idx="14">
                  <c:v>0.67978989562582637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1D-4E16-A4FA-D43F3FD84A72}"/>
            </c:ext>
          </c:extLst>
        </c:ser>
        <c:ser>
          <c:idx val="16"/>
          <c:order val="16"/>
          <c:tx>
            <c:strRef>
              <c:f>'850S50_500'!$AW$39:$AW$40</c:f>
              <c:strCache>
                <c:ptCount val="2"/>
                <c:pt idx="0">
                  <c:v>Txvr/link</c:v>
                </c:pt>
                <c:pt idx="1">
                  <c:v>ioi</c:v>
                </c:pt>
              </c:strCache>
            </c:strRef>
          </c:tx>
          <c:spPr>
            <a:ln w="25400">
              <a:solidFill>
                <a:srgbClr val="3366FF"/>
              </a:solidFill>
              <a:prstDash val="lgDash"/>
            </a:ln>
          </c:spPr>
          <c:marker>
            <c:symbol val="none"/>
          </c:marker>
          <c:xVal>
            <c:numRef>
              <c:f>'850S50_500'!$AM$43:$AM$57</c:f>
              <c:numCache>
                <c:formatCode>General</c:formatCode>
                <c:ptCount val="15"/>
                <c:pt idx="0">
                  <c:v>-0.15000000000000002</c:v>
                </c:pt>
                <c:pt idx="1">
                  <c:v>-0.10000000000000002</c:v>
                </c:pt>
                <c:pt idx="2">
                  <c:v>-5.0000000000000017E-2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0.15000000000000002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0.39999999999999997</c:v>
                </c:pt>
                <c:pt idx="12">
                  <c:v>0.44999999999999996</c:v>
                </c:pt>
                <c:pt idx="13">
                  <c:v>0.49999999999999994</c:v>
                </c:pt>
                <c:pt idx="14">
                  <c:v>0.54999999999999993</c:v>
                </c:pt>
              </c:numCache>
            </c:numRef>
          </c:xVal>
          <c:yVal>
            <c:numRef>
              <c:f>'850S50_500'!$AW$43:$AW$57</c:f>
              <c:numCache>
                <c:formatCode>0%</c:formatCode>
                <c:ptCount val="15"/>
                <c:pt idx="0">
                  <c:v>0.67978989562582592</c:v>
                </c:pt>
                <c:pt idx="1">
                  <c:v>0.63701727639448369</c:v>
                </c:pt>
                <c:pt idx="2">
                  <c:v>0.59298524354965787</c:v>
                </c:pt>
                <c:pt idx="3">
                  <c:v>0.54847174988077185</c:v>
                </c:pt>
                <c:pt idx="4">
                  <c:v>0.50433686363782293</c:v>
                </c:pt>
                <c:pt idx="5">
                  <c:v>0.46149520370983099</c:v>
                </c:pt>
                <c:pt idx="6">
                  <c:v>0.42088479011386726</c:v>
                </c:pt>
                <c:pt idx="7">
                  <c:v>0.38343395728755336</c:v>
                </c:pt>
                <c:pt idx="8">
                  <c:v>0.35002802619535034</c:v>
                </c:pt>
                <c:pt idx="9">
                  <c:v>0.32147734441863562</c:v>
                </c:pt>
                <c:pt idx="10">
                  <c:v>0.2984881112077713</c:v>
                </c:pt>
                <c:pt idx="11">
                  <c:v>0.28163714782054106</c:v>
                </c:pt>
                <c:pt idx="12">
                  <c:v>0.27135149538628411</c:v>
                </c:pt>
                <c:pt idx="13">
                  <c:v>0.26789345945906162</c:v>
                </c:pt>
                <c:pt idx="14">
                  <c:v>0.27135149538628411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1D-4E16-A4FA-D43F3FD84A72}"/>
            </c:ext>
          </c:extLst>
        </c:ser>
        <c:ser>
          <c:idx val="17"/>
          <c:order val="17"/>
          <c:tx>
            <c:strRef>
              <c:f>'850S50_500'!$AI$8</c:f>
              <c:strCache>
                <c:ptCount val="1"/>
                <c:pt idx="0">
                  <c:v>3.6 dB ISI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ash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'850S50_500'!$AJ$8:$AJ$9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'850S50_500'!$AK$8:$AK$9</c:f>
              <c:numCache>
                <c:formatCode>0.00</c:formatCode>
                <c:ptCount val="2"/>
                <c:pt idx="0">
                  <c:v>0.71825791612008294</c:v>
                </c:pt>
                <c:pt idx="1">
                  <c:v>0.28174208387991706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41D-4E16-A4FA-D43F3FD8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36655"/>
        <c:axId val="1"/>
      </c:scatterChart>
      <c:valAx>
        <c:axId val="946836655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Time (UI)</a:t>
                </a:r>
              </a:p>
            </c:rich>
          </c:tx>
          <c:layout>
            <c:manualLayout>
              <c:xMode val="edge"/>
              <c:yMode val="edge"/>
              <c:x val="0.4700998572672663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4683665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Power penalties vs. distance</a:t>
            </a:r>
          </a:p>
        </c:rich>
      </c:tx>
      <c:layout>
        <c:manualLayout>
          <c:xMode val="edge"/>
          <c:yMode val="edge"/>
          <c:x val="0.35485035394989178"/>
          <c:y val="3.65460040819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3041028784599"/>
          <c:y val="0.12292746827575649"/>
          <c:w val="0.61471551214551956"/>
          <c:h val="0.69437407755765146"/>
        </c:manualLayout>
      </c:layout>
      <c:scatterChart>
        <c:scatterStyle val="lineMarker"/>
        <c:varyColors val="0"/>
        <c:ser>
          <c:idx val="1"/>
          <c:order val="0"/>
          <c:tx>
            <c:strRef>
              <c:f>'850S2000'!$B$15</c:f>
              <c:strCache>
                <c:ptCount val="1"/>
                <c:pt idx="0">
                  <c:v>Patt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'850S2000'!$B$18:$B$38</c:f>
              <c:numCache>
                <c:formatCode>0.00</c:formatCode>
                <c:ptCount val="21"/>
                <c:pt idx="0">
                  <c:v>0.72451902384791367</c:v>
                </c:pt>
                <c:pt idx="1">
                  <c:v>0.76074497504030936</c:v>
                </c:pt>
                <c:pt idx="2">
                  <c:v>0.79697092623270505</c:v>
                </c:pt>
                <c:pt idx="3">
                  <c:v>0.83319687742510073</c:v>
                </c:pt>
                <c:pt idx="4">
                  <c:v>0.86942282861749653</c:v>
                </c:pt>
                <c:pt idx="5">
                  <c:v>0.90564877980989222</c:v>
                </c:pt>
                <c:pt idx="6">
                  <c:v>0.94187473100228791</c:v>
                </c:pt>
                <c:pt idx="7">
                  <c:v>0.9781006821946836</c:v>
                </c:pt>
                <c:pt idx="8">
                  <c:v>1.0143266333870793</c:v>
                </c:pt>
                <c:pt idx="9">
                  <c:v>1.050552584579475</c:v>
                </c:pt>
                <c:pt idx="10">
                  <c:v>1.0867785357718707</c:v>
                </c:pt>
                <c:pt idx="11">
                  <c:v>1.1230044869642666</c:v>
                </c:pt>
                <c:pt idx="12">
                  <c:v>1.1592304381566623</c:v>
                </c:pt>
                <c:pt idx="13">
                  <c:v>1.195456389349058</c:v>
                </c:pt>
                <c:pt idx="14">
                  <c:v>1.2316823405414536</c:v>
                </c:pt>
                <c:pt idx="15">
                  <c:v>1.2679082917338493</c:v>
                </c:pt>
                <c:pt idx="16">
                  <c:v>1.304134242926245</c:v>
                </c:pt>
                <c:pt idx="17">
                  <c:v>1.3403601941186407</c:v>
                </c:pt>
                <c:pt idx="18">
                  <c:v>1.3765861453110364</c:v>
                </c:pt>
                <c:pt idx="19">
                  <c:v>1.4128120965034321</c:v>
                </c:pt>
                <c:pt idx="20">
                  <c:v>1.4490380476958278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2-4955-B733-C43CB113F46D}"/>
            </c:ext>
          </c:extLst>
        </c:ser>
        <c:ser>
          <c:idx val="0"/>
          <c:order val="1"/>
          <c:tx>
            <c:strRef>
              <c:f>'850S2000'!$J$14:$J$15</c:f>
              <c:strCache>
                <c:ptCount val="2"/>
                <c:pt idx="0">
                  <c:v>Pisi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'850S2000'!$J$18:$J$38</c:f>
              <c:numCache>
                <c:formatCode>0.00</c:formatCode>
                <c:ptCount val="21"/>
                <c:pt idx="0">
                  <c:v>1.7294597075884308</c:v>
                </c:pt>
                <c:pt idx="1">
                  <c:v>1.8335936583573285</c:v>
                </c:pt>
                <c:pt idx="2">
                  <c:v>1.9431621438174729</c:v>
                </c:pt>
                <c:pt idx="3">
                  <c:v>2.0581712131543575</c:v>
                </c:pt>
                <c:pt idx="4">
                  <c:v>2.1786319548152084</c:v>
                </c:pt>
                <c:pt idx="5">
                  <c:v>2.3045630114349915</c:v>
                </c:pt>
                <c:pt idx="6">
                  <c:v>2.435993136374079</c:v>
                </c:pt>
                <c:pt idx="7">
                  <c:v>2.5729637909572061</c:v>
                </c:pt>
                <c:pt idx="8">
                  <c:v>2.7155317955155929</c:v>
                </c:pt>
                <c:pt idx="9">
                  <c:v>2.8637720609700446</c:v>
                </c:pt>
                <c:pt idx="10">
                  <c:v>3.0177804411920173</c:v>
                </c:pt>
                <c:pt idx="11">
                  <c:v>3.1776767601966744</c:v>
                </c:pt>
                <c:pt idx="12">
                  <c:v>3.3436080830156345</c:v>
                </c:pt>
                <c:pt idx="13">
                  <c:v>3.5157523157435335</c:v>
                </c:pt>
                <c:pt idx="14">
                  <c:v>3.6943222398854547</c:v>
                </c:pt>
                <c:pt idx="15">
                  <c:v>3.879570110216755</c:v>
                </c:pt>
                <c:pt idx="16">
                  <c:v>4.0717929758270284</c:v>
                </c:pt>
                <c:pt idx="17">
                  <c:v>4.2713389234311503</c:v>
                </c:pt>
                <c:pt idx="18">
                  <c:v>4.4786144939134882</c:v>
                </c:pt>
                <c:pt idx="19">
                  <c:v>4.6940935923403631</c:v>
                </c:pt>
                <c:pt idx="20">
                  <c:v>4.9183283053183127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2-4955-B733-C43CB113F46D}"/>
            </c:ext>
          </c:extLst>
        </c:ser>
        <c:ser>
          <c:idx val="6"/>
          <c:order val="2"/>
          <c:tx>
            <c:strRef>
              <c:f>'850S2000'!$L$14:$L$15</c:f>
              <c:strCache>
                <c:ptCount val="2"/>
                <c:pt idx="0">
                  <c:v>P_DJ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'850S2000'!$L$18:$L$38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2-4955-B733-C43CB113F46D}"/>
            </c:ext>
          </c:extLst>
        </c:ser>
        <c:ser>
          <c:idx val="3"/>
          <c:order val="3"/>
          <c:tx>
            <c:strRef>
              <c:f>'850S2000'!$R$15</c:f>
              <c:strCache>
                <c:ptCount val="1"/>
                <c:pt idx="0">
                  <c:v>Prin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'850S2000'!$R$18:$R$38</c:f>
              <c:numCache>
                <c:formatCode>0.00</c:formatCode>
                <c:ptCount val="21"/>
                <c:pt idx="0">
                  <c:v>0.1268876023773754</c:v>
                </c:pt>
                <c:pt idx="1">
                  <c:v>0.12916231758910374</c:v>
                </c:pt>
                <c:pt idx="2">
                  <c:v>0.13187416894259232</c:v>
                </c:pt>
                <c:pt idx="3">
                  <c:v>0.13505477459742365</c:v>
                </c:pt>
                <c:pt idx="4">
                  <c:v>0.1387404420577853</c:v>
                </c:pt>
                <c:pt idx="5">
                  <c:v>0.14297319408500625</c:v>
                </c:pt>
                <c:pt idx="6">
                  <c:v>0.14780193709451794</c:v>
                </c:pt>
                <c:pt idx="7">
                  <c:v>0.15328382447476052</c:v>
                </c:pt>
                <c:pt idx="8">
                  <c:v>0.15948587933364949</c:v>
                </c:pt>
                <c:pt idx="9">
                  <c:v>0.1664869577266932</c:v>
                </c:pt>
                <c:pt idx="10">
                  <c:v>0.17438015623484171</c:v>
                </c:pt>
                <c:pt idx="11">
                  <c:v>0.18327579936066041</c:v>
                </c:pt>
                <c:pt idx="12">
                  <c:v>0.19330518625838383</c:v>
                </c:pt>
                <c:pt idx="13">
                  <c:v>0.20462533822550114</c:v>
                </c:pt>
                <c:pt idx="14">
                  <c:v>0.21742507632411842</c:v>
                </c:pt>
                <c:pt idx="15">
                  <c:v>0.23193288497697859</c:v>
                </c:pt>
                <c:pt idx="16">
                  <c:v>0.24842720190620851</c:v>
                </c:pt>
                <c:pt idx="17">
                  <c:v>0.26725004838473493</c:v>
                </c:pt>
                <c:pt idx="18">
                  <c:v>0.28882532687485757</c:v>
                </c:pt>
                <c:pt idx="19">
                  <c:v>0.31368374963381895</c:v>
                </c:pt>
                <c:pt idx="20">
                  <c:v>0.34249736509438328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2-4955-B733-C43CB113F46D}"/>
            </c:ext>
          </c:extLst>
        </c:ser>
        <c:ser>
          <c:idx val="5"/>
          <c:order val="4"/>
          <c:tx>
            <c:strRef>
              <c:f>'850S2000'!$N$14:$N$15</c:f>
              <c:strCache>
                <c:ptCount val="2"/>
                <c:pt idx="0">
                  <c:v>Preflection</c:v>
                </c:pt>
                <c:pt idx="1">
                  <c:v>central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'850S2000'!$N$18:$N$38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2-4955-B733-C43CB113F46D}"/>
            </c:ext>
          </c:extLst>
        </c:ser>
        <c:ser>
          <c:idx val="2"/>
          <c:order val="5"/>
          <c:tx>
            <c:strRef>
              <c:f>'850S2000'!$Q$15</c:f>
              <c:strCache>
                <c:ptCount val="1"/>
                <c:pt idx="0">
                  <c:v>Pmpn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'850S2000'!$Q$18:$Q$38</c:f>
              <c:numCache>
                <c:formatCode>0.00</c:formatCode>
                <c:ptCount val="21"/>
                <c:pt idx="0">
                  <c:v>1.4189989598590472E-2</c:v>
                </c:pt>
                <c:pt idx="1">
                  <c:v>1.7162719115674366E-2</c:v>
                </c:pt>
                <c:pt idx="2">
                  <c:v>2.0567073242907234E-2</c:v>
                </c:pt>
                <c:pt idx="3">
                  <c:v>2.4439706715681034E-2</c:v>
                </c:pt>
                <c:pt idx="4">
                  <c:v>2.8818182651728981E-2</c:v>
                </c:pt>
                <c:pt idx="5">
                  <c:v>3.3740919330850223E-2</c:v>
                </c:pt>
                <c:pt idx="6">
                  <c:v>3.9247144084974178E-2</c:v>
                </c:pt>
                <c:pt idx="7">
                  <c:v>4.537685491900452E-2</c:v>
                </c:pt>
                <c:pt idx="8">
                  <c:v>5.2170790451369665E-2</c:v>
                </c:pt>
                <c:pt idx="9">
                  <c:v>5.9670408738314362E-2</c:v>
                </c:pt>
                <c:pt idx="10">
                  <c:v>6.791787552929307E-2</c:v>
                </c:pt>
                <c:pt idx="11">
                  <c:v>7.6956062493541241E-2</c:v>
                </c:pt>
                <c:pt idx="12">
                  <c:v>8.6828555961575238E-2</c:v>
                </c:pt>
                <c:pt idx="13">
                  <c:v>9.7579676741298776E-2</c:v>
                </c:pt>
                <c:pt idx="14">
                  <c:v>0.10925451159806822</c:v>
                </c:pt>
                <c:pt idx="15">
                  <c:v>0.12189895703313483</c:v>
                </c:pt>
                <c:pt idx="16">
                  <c:v>0.13555977605697922</c:v>
                </c:pt>
                <c:pt idx="17">
                  <c:v>0.15028466873530871</c:v>
                </c:pt>
                <c:pt idx="18">
                  <c:v>0.16612235738819064</c:v>
                </c:pt>
                <c:pt idx="19">
                  <c:v>0.18312268744965082</c:v>
                </c:pt>
                <c:pt idx="20">
                  <c:v>0.20133674514953462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22-4955-B733-C43CB113F46D}"/>
            </c:ext>
          </c:extLst>
        </c:ser>
        <c:ser>
          <c:idx val="4"/>
          <c:order val="6"/>
          <c:tx>
            <c:strRef>
              <c:f>'850S2000'!$S$14</c:f>
              <c:strCache>
                <c:ptCount val="1"/>
                <c:pt idx="0">
                  <c:v>Pcross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'850S2000'!$S$18:$S$38</c:f>
              <c:numCache>
                <c:formatCode>0.00</c:formatCode>
                <c:ptCount val="21"/>
                <c:pt idx="0">
                  <c:v>0.14413595685271346</c:v>
                </c:pt>
                <c:pt idx="1">
                  <c:v>0.15575533528787033</c:v>
                </c:pt>
                <c:pt idx="2">
                  <c:v>0.16884280970619497</c:v>
                </c:pt>
                <c:pt idx="3">
                  <c:v>0.1835920837920107</c:v>
                </c:pt>
                <c:pt idx="4">
                  <c:v>0.20023164906831298</c:v>
                </c:pt>
                <c:pt idx="5">
                  <c:v>0.21903278498823214</c:v>
                </c:pt>
                <c:pt idx="6">
                  <c:v>0.24031981774172201</c:v>
                </c:pt>
                <c:pt idx="7">
                  <c:v>0.26448342841844924</c:v>
                </c:pt>
                <c:pt idx="8">
                  <c:v>0.29199813452311868</c:v>
                </c:pt>
                <c:pt idx="9">
                  <c:v>0.32344557117027911</c:v>
                </c:pt>
                <c:pt idx="10">
                  <c:v>0.35954597161071283</c:v>
                </c:pt>
                <c:pt idx="11">
                  <c:v>0.40120146603075174</c:v>
                </c:pt>
                <c:pt idx="12">
                  <c:v>0.44955679236257923</c:v>
                </c:pt>
                <c:pt idx="13">
                  <c:v>0.50608631028112416</c:v>
                </c:pt>
                <c:pt idx="14">
                  <c:v>0.57272191097005587</c:v>
                </c:pt>
                <c:pt idx="15">
                  <c:v>0.65204667905660152</c:v>
                </c:pt>
                <c:pt idx="16">
                  <c:v>0.74759853393403364</c:v>
                </c:pt>
                <c:pt idx="17">
                  <c:v>0.86436674616977727</c:v>
                </c:pt>
                <c:pt idx="18">
                  <c:v>1.0096468376961003</c:v>
                </c:pt>
                <c:pt idx="19">
                  <c:v>1.1946113434350398</c:v>
                </c:pt>
                <c:pt idx="20">
                  <c:v>1.437450453455122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22-4955-B733-C43CB113F46D}"/>
            </c:ext>
          </c:extLst>
        </c:ser>
        <c:ser>
          <c:idx val="8"/>
          <c:order val="7"/>
          <c:tx>
            <c:strRef>
              <c:f>'850S2000'!$T$14</c:f>
              <c:strCache>
                <c:ptCount val="1"/>
                <c:pt idx="0">
                  <c:v>Ptotal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'850S2000'!$T$18:$T$38</c:f>
              <c:numCache>
                <c:formatCode>0.0</c:formatCode>
                <c:ptCount val="21"/>
                <c:pt idx="0">
                  <c:v>3.039192280265024</c:v>
                </c:pt>
                <c:pt idx="1">
                  <c:v>3.1964190053902866</c:v>
                </c:pt>
                <c:pt idx="2">
                  <c:v>3.361417121941872</c:v>
                </c:pt>
                <c:pt idx="3">
                  <c:v>3.5344546556845735</c:v>
                </c:pt>
                <c:pt idx="4">
                  <c:v>3.7158450572105322</c:v>
                </c:pt>
                <c:pt idx="5">
                  <c:v>3.9059586896489726</c:v>
                </c:pt>
                <c:pt idx="6">
                  <c:v>4.1052367662975806</c:v>
                </c:pt>
                <c:pt idx="7">
                  <c:v>4.3142085809641033</c:v>
                </c:pt>
                <c:pt idx="8">
                  <c:v>4.5335132332108099</c:v>
                </c:pt>
                <c:pt idx="9">
                  <c:v>4.763927583184806</c:v>
                </c:pt>
                <c:pt idx="10">
                  <c:v>5.0064029803387351</c:v>
                </c:pt>
                <c:pt idx="11">
                  <c:v>5.2621145750458949</c:v>
                </c:pt>
                <c:pt idx="12">
                  <c:v>5.5325290557548348</c:v>
                </c:pt>
                <c:pt idx="13">
                  <c:v>5.8195000303405156</c:v>
                </c:pt>
                <c:pt idx="14">
                  <c:v>6.1254060793191494</c:v>
                </c:pt>
                <c:pt idx="15">
                  <c:v>6.4533569230173189</c:v>
                </c:pt>
                <c:pt idx="16">
                  <c:v>6.8075127306504948</c:v>
                </c:pt>
                <c:pt idx="17">
                  <c:v>7.193600580839612</c:v>
                </c:pt>
                <c:pt idx="18">
                  <c:v>7.6197951611836734</c:v>
                </c:pt>
                <c:pt idx="19">
                  <c:v>8.0983234693623061</c:v>
                </c:pt>
                <c:pt idx="20">
                  <c:v>8.64865091671318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22-4955-B733-C43CB113F46D}"/>
            </c:ext>
          </c:extLst>
        </c:ser>
        <c:ser>
          <c:idx val="7"/>
          <c:order val="8"/>
          <c:tx>
            <c:strRef>
              <c:f>'850S2000'!$AL$15</c:f>
              <c:strCache>
                <c:ptCount val="1"/>
                <c:pt idx="0">
                  <c:v>P-C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'850S2000'!$AL$18:$AL$38</c:f>
              <c:numCache>
                <c:formatCode>General</c:formatCode>
                <c:ptCount val="21"/>
                <c:pt idx="0">
                  <c:v>5.8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22-4955-B733-C43CB113F46D}"/>
            </c:ext>
          </c:extLst>
        </c:ser>
        <c:ser>
          <c:idx val="9"/>
          <c:order val="9"/>
          <c:tx>
            <c:strRef>
              <c:f>'850S2000'!$AN$16</c:f>
              <c:strCache>
                <c:ptCount val="1"/>
                <c:pt idx="0">
                  <c:v>(dB)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'850S2000'!$AM$18:$AM$38</c:f>
              <c:numCache>
                <c:formatCode>General</c:formatCode>
                <c:ptCount val="2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xVal>
          <c:yVal>
            <c:numRef>
              <c:f>'850S2000'!$AN$18:$AN$38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22-4955-B733-C43CB113F46D}"/>
            </c:ext>
          </c:extLst>
        </c:ser>
        <c:ser>
          <c:idx val="10"/>
          <c:order val="10"/>
          <c:tx>
            <c:strRef>
              <c:f>'850S2000'!$M$14:$M$15</c:f>
              <c:strCache>
                <c:ptCount val="2"/>
                <c:pt idx="0">
                  <c:v>P_DJ</c:v>
                </c:pt>
                <c:pt idx="1">
                  <c:v>corners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'850S2000'!$A$18:$A$38</c:f>
              <c:numCache>
                <c:formatCode>0.00#</c:formatCode>
                <c:ptCount val="2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</c:numCache>
            </c:numRef>
          </c:xVal>
          <c:yVal>
            <c:numRef>
              <c:f>'850S2000'!$M$18:$M$38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22-4955-B733-C43CB113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20623"/>
        <c:axId val="1"/>
      </c:scatterChart>
      <c:valAx>
        <c:axId val="823020623"/>
        <c:scaling>
          <c:orientation val="minMax"/>
          <c:max val="0.4"/>
          <c:min val="0.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L (km)</a:t>
                </a:r>
              </a:p>
            </c:rich>
          </c:tx>
          <c:layout>
            <c:manualLayout>
              <c:xMode val="edge"/>
              <c:yMode val="edge"/>
              <c:x val="0.37814860951225843"/>
              <c:y val="0.90700537403463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#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Penalty (dB)</a:t>
                </a:r>
              </a:p>
            </c:rich>
          </c:tx>
          <c:layout>
            <c:manualLayout>
              <c:xMode val="edge"/>
              <c:yMode val="edge"/>
              <c:x val="1.4337388038379466E-2"/>
              <c:y val="0.355492948797457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2302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54417799573225"/>
          <c:y val="0.19601947643971979"/>
          <c:w val="0.24731994366204579"/>
          <c:h val="0.6976964415651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&amp;CSpreadsheet by Agilent Technologies</c:oddHeader>
      <c:oddFooter>&amp;L&amp;F tab &amp;A&amp;RPrinted &amp;T &amp;D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234B7938-93A0-4570-B097-7E365DB45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5A60E626-4D4B-4FDE-9380-86B4DB5C7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D1C75DEF-D8D1-452F-A479-BC07AD6A3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CB8FFC6-4D02-4B92-BAE9-ACE7AE6C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C59824C8-A17F-4E8A-9543-D0B43C55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2FC90876-514C-4806-B33A-2EFFE75D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33C9EA03-A8FA-4A56-9A9A-4F018243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F5B88EE9-D7D3-4C1A-9BAC-A536C7A5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FBDFA64-2259-43F3-8CB2-EE3A27BA4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FC81586C-0A08-4539-8F38-19F4534E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E8595DAD-3D3A-4359-A70C-7777299A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C2619C7E-32C0-4D7B-9FFF-43242F26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60C6F290-560A-4E2C-A39A-70387987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DE69F282-C25A-405E-B90D-A834E3E8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76B34AA8-B169-49B3-A603-8277CA58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71E5EBA5-4B01-4BD8-B4C7-411DB5FF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CE0F0EF-110F-488D-80B5-7E0800933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1359" name="Chart 335">
          <a:extLst>
            <a:ext uri="{FF2B5EF4-FFF2-40B4-BE49-F238E27FC236}">
              <a16:creationId xmlns:a16="http://schemas.microsoft.com/office/drawing/2014/main" id="{EB802B43-1918-48B8-AF50-9D95CDF6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36</xdr:row>
      <xdr:rowOff>161925</xdr:rowOff>
    </xdr:from>
    <xdr:to>
      <xdr:col>24</xdr:col>
      <xdr:colOff>0</xdr:colOff>
      <xdr:row>51</xdr:row>
      <xdr:rowOff>171450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5E56BA3-FB41-4C98-B3F4-9E05D2CD9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36</xdr:row>
      <xdr:rowOff>161925</xdr:rowOff>
    </xdr:from>
    <xdr:to>
      <xdr:col>14</xdr:col>
      <xdr:colOff>85725</xdr:colOff>
      <xdr:row>51</xdr:row>
      <xdr:rowOff>171450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5D65ED8-17F7-4CF5-9B7C-A9792EA3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eee802.org/3/efm/public/sep01/dawe_1_0901.pdf" TargetMode="External"/><Relationship Id="rId3" Type="http://schemas.openxmlformats.org/officeDocument/2006/relationships/hyperlink" Target="http://grouper.ieee.org/groups/802/3/10G_study/public/email_attach/All_1250v2.xls" TargetMode="External"/><Relationship Id="rId7" Type="http://schemas.openxmlformats.org/officeDocument/2006/relationships/hyperlink" Target="http://www.ieee802.org/3/efm/public/sep01/dawe_1_0901.pdf" TargetMode="External"/><Relationship Id="rId2" Type="http://schemas.openxmlformats.org/officeDocument/2006/relationships/hyperlink" Target="http://grouper.ieee.org/groups/802/3/10G_study/public/email_attach/All_1250.xls" TargetMode="External"/><Relationship Id="rId1" Type="http://schemas.openxmlformats.org/officeDocument/2006/relationships/hyperlink" Target="http://grouper.ieee.org/groups/802/3/10G_study/public/email_attach/All_1250.xls" TargetMode="External"/><Relationship Id="rId6" Type="http://schemas.openxmlformats.org/officeDocument/2006/relationships/hyperlink" Target="http://www.ieee802.org/3/ae/public/oct01/dawe_1_1001.pdf" TargetMode="External"/><Relationship Id="rId5" Type="http://schemas.openxmlformats.org/officeDocument/2006/relationships/hyperlink" Target="http://www.ieee802.org/3/z/public/presentations/mar1997/DCwpaper.pdf" TargetMode="External"/><Relationship Id="rId4" Type="http://schemas.openxmlformats.org/officeDocument/2006/relationships/hyperlink" Target="http://www.ieee802.org/3/ae/public/adhoc/serial_pmd/documents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0"/>
  <sheetViews>
    <sheetView topLeftCell="A67" zoomScale="90" zoomScaleNormal="90" workbookViewId="0"/>
  </sheetViews>
  <sheetFormatPr defaultRowHeight="12.75" x14ac:dyDescent="0.2"/>
  <cols>
    <col min="1" max="1" width="5.7109375" style="214" customWidth="1"/>
    <col min="2" max="2" width="5.85546875" style="214" customWidth="1"/>
    <col min="3" max="3" width="6" style="214" customWidth="1"/>
    <col min="4" max="4" width="12" style="214" bestFit="1" customWidth="1"/>
    <col min="5" max="5" width="12.42578125" style="214" customWidth="1"/>
    <col min="6" max="12" width="9.140625" style="214"/>
    <col min="13" max="13" width="7.42578125" style="214" customWidth="1"/>
    <col min="14" max="16384" width="9.140625" style="214"/>
  </cols>
  <sheetData>
    <row r="1" spans="1:11" x14ac:dyDescent="0.2">
      <c r="A1" s="431" t="s">
        <v>423</v>
      </c>
      <c r="E1" s="421">
        <v>37196</v>
      </c>
      <c r="F1" s="214" t="s">
        <v>398</v>
      </c>
    </row>
    <row r="2" spans="1:11" x14ac:dyDescent="0.2">
      <c r="A2" s="258" t="s">
        <v>439</v>
      </c>
      <c r="E2" s="421">
        <v>37181</v>
      </c>
      <c r="F2" s="215" t="s">
        <v>3</v>
      </c>
      <c r="G2" s="419" t="s">
        <v>394</v>
      </c>
      <c r="H2" s="214" t="s">
        <v>174</v>
      </c>
    </row>
    <row r="3" spans="1:11" x14ac:dyDescent="0.2">
      <c r="A3" s="214" t="s">
        <v>175</v>
      </c>
      <c r="C3" s="400" t="s">
        <v>352</v>
      </c>
    </row>
    <row r="4" spans="1:11" x14ac:dyDescent="0.2">
      <c r="A4" s="431" t="s">
        <v>438</v>
      </c>
    </row>
    <row r="5" spans="1:11" x14ac:dyDescent="0.2">
      <c r="A5" s="431" t="s">
        <v>424</v>
      </c>
      <c r="F5" s="465" t="s">
        <v>243</v>
      </c>
      <c r="G5" s="466" t="s">
        <v>425</v>
      </c>
    </row>
    <row r="6" spans="1:11" x14ac:dyDescent="0.2">
      <c r="A6" s="431"/>
      <c r="B6" s="422" t="s">
        <v>429</v>
      </c>
    </row>
    <row r="7" spans="1:11" x14ac:dyDescent="0.2">
      <c r="A7" s="214" t="s">
        <v>176</v>
      </c>
    </row>
    <row r="8" spans="1:11" x14ac:dyDescent="0.2">
      <c r="B8" s="214" t="s">
        <v>177</v>
      </c>
    </row>
    <row r="9" spans="1:11" x14ac:dyDescent="0.2">
      <c r="B9" s="214" t="s">
        <v>178</v>
      </c>
    </row>
    <row r="10" spans="1:11" s="217" customFormat="1" x14ac:dyDescent="0.2">
      <c r="A10" s="214" t="s">
        <v>179</v>
      </c>
      <c r="D10" s="218"/>
    </row>
    <row r="11" spans="1:11" s="217" customFormat="1" x14ac:dyDescent="0.2">
      <c r="A11" s="214"/>
      <c r="B11" s="214" t="s">
        <v>180</v>
      </c>
      <c r="D11" s="218"/>
      <c r="F11" s="214" t="s">
        <v>181</v>
      </c>
      <c r="K11" s="214" t="s">
        <v>182</v>
      </c>
    </row>
    <row r="12" spans="1:11" s="217" customFormat="1" x14ac:dyDescent="0.2">
      <c r="A12" s="214" t="s">
        <v>183</v>
      </c>
      <c r="B12" s="214"/>
      <c r="D12" s="218"/>
    </row>
    <row r="13" spans="1:11" s="217" customFormat="1" x14ac:dyDescent="0.2">
      <c r="A13" s="214"/>
      <c r="B13" s="214" t="s">
        <v>184</v>
      </c>
      <c r="D13" s="218"/>
      <c r="E13" s="214" t="s">
        <v>185</v>
      </c>
    </row>
    <row r="14" spans="1:11" s="217" customFormat="1" x14ac:dyDescent="0.2">
      <c r="A14" s="217" t="s">
        <v>186</v>
      </c>
      <c r="B14" s="214"/>
      <c r="D14" s="218"/>
    </row>
    <row r="15" spans="1:11" s="217" customFormat="1" x14ac:dyDescent="0.2">
      <c r="A15" s="217" t="s">
        <v>187</v>
      </c>
    </row>
    <row r="16" spans="1:11" s="221" customFormat="1" x14ac:dyDescent="0.2">
      <c r="A16" s="219" t="s">
        <v>188</v>
      </c>
      <c r="B16" s="220"/>
      <c r="D16" s="468">
        <v>37195</v>
      </c>
      <c r="E16" s="222" t="s">
        <v>3</v>
      </c>
      <c r="F16" s="467" t="s">
        <v>427</v>
      </c>
      <c r="G16" s="223" t="s">
        <v>189</v>
      </c>
      <c r="I16" s="223"/>
      <c r="J16" s="223"/>
      <c r="K16" s="223"/>
    </row>
    <row r="17" spans="1:11" s="217" customFormat="1" x14ac:dyDescent="0.2">
      <c r="A17" s="224" t="s">
        <v>190</v>
      </c>
      <c r="B17" s="225"/>
      <c r="C17" s="225"/>
      <c r="D17" s="226"/>
      <c r="E17" s="225"/>
      <c r="F17" s="225"/>
      <c r="G17" s="227"/>
      <c r="H17" s="228"/>
      <c r="I17" s="228"/>
      <c r="J17" s="228"/>
      <c r="K17" s="229"/>
    </row>
    <row r="18" spans="1:11" x14ac:dyDescent="0.2">
      <c r="A18" s="230"/>
      <c r="B18" s="471" t="s">
        <v>191</v>
      </c>
      <c r="C18" s="472"/>
      <c r="D18" s="472"/>
      <c r="E18" s="472"/>
      <c r="F18" s="472"/>
      <c r="G18" s="472"/>
      <c r="H18" s="472"/>
      <c r="I18" s="472"/>
      <c r="J18" s="472"/>
      <c r="K18" s="472"/>
    </row>
    <row r="19" spans="1:11" x14ac:dyDescent="0.2">
      <c r="A19" s="230" t="s">
        <v>192</v>
      </c>
      <c r="B19" s="231"/>
      <c r="C19" s="232"/>
      <c r="D19" s="232"/>
      <c r="E19" s="232"/>
      <c r="F19" s="232"/>
      <c r="G19" s="232"/>
      <c r="H19" s="232"/>
      <c r="I19" s="232"/>
      <c r="J19" s="232"/>
      <c r="K19" s="232"/>
    </row>
    <row r="20" spans="1:11" x14ac:dyDescent="0.2">
      <c r="A20" s="230"/>
      <c r="B20" s="231" t="s">
        <v>193</v>
      </c>
      <c r="C20" s="232"/>
      <c r="D20" s="232"/>
      <c r="E20" s="232"/>
      <c r="F20" s="232"/>
      <c r="G20" s="232"/>
      <c r="H20" s="232"/>
      <c r="I20" s="232"/>
      <c r="J20" s="232"/>
      <c r="K20" s="232"/>
    </row>
    <row r="21" spans="1:11" x14ac:dyDescent="0.2">
      <c r="A21" s="233" t="s">
        <v>194</v>
      </c>
      <c r="B21" s="234" t="s">
        <v>195</v>
      </c>
      <c r="C21" s="234"/>
      <c r="D21" s="235"/>
      <c r="E21" s="234"/>
      <c r="F21" s="234"/>
      <c r="G21" s="236"/>
      <c r="H21" s="230"/>
      <c r="I21" s="230"/>
      <c r="J21" s="230"/>
      <c r="K21" s="230"/>
    </row>
    <row r="22" spans="1:11" x14ac:dyDescent="0.2">
      <c r="A22" s="233" t="s">
        <v>194</v>
      </c>
      <c r="B22" s="234" t="s">
        <v>196</v>
      </c>
      <c r="C22" s="234"/>
      <c r="D22" s="235"/>
      <c r="E22" s="234"/>
      <c r="F22" s="234"/>
      <c r="G22" s="236"/>
      <c r="H22" s="230"/>
      <c r="I22" s="230"/>
      <c r="J22" s="230"/>
      <c r="K22" s="230"/>
    </row>
    <row r="23" spans="1:11" x14ac:dyDescent="0.2">
      <c r="A23" s="236"/>
      <c r="B23" s="237" t="s">
        <v>197</v>
      </c>
      <c r="C23" s="237"/>
      <c r="D23" s="235"/>
      <c r="E23" s="234"/>
      <c r="F23" s="234"/>
      <c r="G23" s="236"/>
      <c r="H23" s="230"/>
      <c r="I23" s="230"/>
      <c r="J23" s="230"/>
      <c r="K23" s="230"/>
    </row>
    <row r="24" spans="1:11" x14ac:dyDescent="0.2">
      <c r="A24" s="236"/>
      <c r="B24" s="234" t="s">
        <v>198</v>
      </c>
      <c r="C24" s="237"/>
      <c r="D24" s="235"/>
      <c r="E24" s="234"/>
      <c r="F24" s="234"/>
      <c r="G24" s="236"/>
      <c r="H24" s="230"/>
      <c r="I24" s="230"/>
      <c r="J24" s="230"/>
      <c r="K24" s="230"/>
    </row>
    <row r="25" spans="1:11" x14ac:dyDescent="0.2">
      <c r="A25" s="236"/>
      <c r="B25" s="234" t="s">
        <v>199</v>
      </c>
      <c r="C25" s="237"/>
      <c r="D25" s="235"/>
      <c r="E25" s="234"/>
      <c r="F25" s="234"/>
      <c r="G25" s="236"/>
      <c r="H25" s="230"/>
      <c r="I25" s="230"/>
      <c r="J25" s="230"/>
      <c r="K25" s="230"/>
    </row>
    <row r="26" spans="1:11" x14ac:dyDescent="0.2">
      <c r="B26" s="234" t="s">
        <v>200</v>
      </c>
      <c r="C26" s="237"/>
      <c r="D26" s="235"/>
      <c r="E26" s="234"/>
      <c r="F26" s="234"/>
      <c r="G26" s="236"/>
      <c r="H26" s="230"/>
      <c r="I26" s="230"/>
      <c r="J26" s="230"/>
      <c r="K26" s="230"/>
    </row>
    <row r="27" spans="1:11" x14ac:dyDescent="0.2">
      <c r="B27" s="234" t="s">
        <v>201</v>
      </c>
      <c r="C27" s="237"/>
      <c r="D27" s="235"/>
      <c r="E27" s="234"/>
      <c r="F27" s="234"/>
      <c r="G27" s="236"/>
      <c r="H27" s="230"/>
      <c r="I27" s="230"/>
      <c r="J27" s="230"/>
      <c r="K27" s="230"/>
    </row>
    <row r="28" spans="1:11" x14ac:dyDescent="0.2">
      <c r="A28" s="233" t="s">
        <v>194</v>
      </c>
      <c r="B28" s="234" t="s">
        <v>202</v>
      </c>
      <c r="C28" s="234"/>
      <c r="D28" s="235"/>
      <c r="E28" s="234"/>
      <c r="F28" s="234"/>
      <c r="G28" s="236"/>
      <c r="H28" s="230"/>
      <c r="I28" s="230"/>
      <c r="J28" s="230"/>
      <c r="K28" s="230"/>
    </row>
    <row r="29" spans="1:11" x14ac:dyDescent="0.2">
      <c r="A29" s="236"/>
      <c r="B29" s="234" t="s">
        <v>203</v>
      </c>
      <c r="C29" s="234"/>
      <c r="D29" s="235"/>
      <c r="E29" s="234"/>
      <c r="F29" s="234"/>
      <c r="G29" s="236"/>
      <c r="H29" s="230"/>
      <c r="I29" s="230"/>
      <c r="J29" s="230"/>
      <c r="K29" s="230"/>
    </row>
    <row r="30" spans="1:11" x14ac:dyDescent="0.2">
      <c r="A30" s="233" t="s">
        <v>194</v>
      </c>
      <c r="B30" s="238" t="s">
        <v>204</v>
      </c>
      <c r="C30" s="234"/>
      <c r="D30" s="235"/>
      <c r="E30" s="234"/>
      <c r="F30" s="234"/>
      <c r="G30" s="236"/>
      <c r="H30" s="230"/>
      <c r="I30" s="230"/>
      <c r="J30" s="230"/>
      <c r="K30" s="230"/>
    </row>
    <row r="31" spans="1:11" x14ac:dyDescent="0.2">
      <c r="A31" s="233" t="s">
        <v>194</v>
      </c>
      <c r="B31" s="238" t="s">
        <v>205</v>
      </c>
      <c r="C31" s="238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33" t="s">
        <v>194</v>
      </c>
      <c r="B32" s="238" t="s">
        <v>206</v>
      </c>
      <c r="C32" s="238"/>
      <c r="D32" s="238"/>
      <c r="E32" s="238"/>
      <c r="F32" s="238"/>
      <c r="G32" s="238"/>
      <c r="H32" s="238"/>
      <c r="I32" s="238"/>
      <c r="J32" s="238"/>
      <c r="K32" s="238"/>
    </row>
    <row r="33" spans="1:11" x14ac:dyDescent="0.2">
      <c r="A33" s="239" t="s">
        <v>207</v>
      </c>
      <c r="C33" s="238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30"/>
      <c r="B34" s="471" t="s">
        <v>208</v>
      </c>
      <c r="C34" s="473"/>
      <c r="D34" s="473"/>
      <c r="E34" s="473"/>
      <c r="F34" s="473"/>
      <c r="G34" s="473"/>
      <c r="H34" s="473"/>
      <c r="I34" s="473"/>
      <c r="J34" s="473"/>
      <c r="K34" s="473"/>
    </row>
    <row r="35" spans="1:11" x14ac:dyDescent="0.2">
      <c r="A35" s="233" t="s">
        <v>194</v>
      </c>
      <c r="B35" s="214" t="s">
        <v>209</v>
      </c>
    </row>
    <row r="36" spans="1:11" x14ac:dyDescent="0.2">
      <c r="B36" s="214" t="s">
        <v>210</v>
      </c>
    </row>
    <row r="37" spans="1:11" x14ac:dyDescent="0.2">
      <c r="A37" s="233" t="s">
        <v>194</v>
      </c>
      <c r="B37" s="214" t="s">
        <v>211</v>
      </c>
    </row>
    <row r="38" spans="1:11" x14ac:dyDescent="0.2">
      <c r="A38" s="233" t="s">
        <v>194</v>
      </c>
      <c r="B38" s="214" t="s">
        <v>212</v>
      </c>
    </row>
    <row r="39" spans="1:11" x14ac:dyDescent="0.2">
      <c r="A39" s="233" t="s">
        <v>194</v>
      </c>
      <c r="B39" s="214" t="s">
        <v>213</v>
      </c>
    </row>
    <row r="40" spans="1:11" x14ac:dyDescent="0.2">
      <c r="A40" s="233" t="s">
        <v>194</v>
      </c>
      <c r="B40" s="214" t="s">
        <v>214</v>
      </c>
    </row>
    <row r="41" spans="1:11" x14ac:dyDescent="0.2">
      <c r="A41" s="214" t="s">
        <v>215</v>
      </c>
    </row>
    <row r="42" spans="1:11" x14ac:dyDescent="0.2">
      <c r="A42" s="233" t="s">
        <v>194</v>
      </c>
      <c r="B42" s="240" t="s">
        <v>216</v>
      </c>
    </row>
    <row r="43" spans="1:11" x14ac:dyDescent="0.2">
      <c r="A43" s="233"/>
      <c r="C43" s="214" t="s">
        <v>217</v>
      </c>
    </row>
    <row r="44" spans="1:11" x14ac:dyDescent="0.2">
      <c r="C44" s="214" t="s">
        <v>218</v>
      </c>
    </row>
    <row r="45" spans="1:11" x14ac:dyDescent="0.2">
      <c r="C45" s="214" t="s">
        <v>219</v>
      </c>
    </row>
    <row r="46" spans="1:11" x14ac:dyDescent="0.2">
      <c r="C46" s="214" t="s">
        <v>220</v>
      </c>
    </row>
    <row r="47" spans="1:11" x14ac:dyDescent="0.2">
      <c r="A47" s="233" t="s">
        <v>194</v>
      </c>
      <c r="B47" s="240" t="s">
        <v>221</v>
      </c>
    </row>
    <row r="48" spans="1:11" x14ac:dyDescent="0.2">
      <c r="B48" s="214" t="s">
        <v>313</v>
      </c>
    </row>
    <row r="49" spans="1:7" x14ac:dyDescent="0.2">
      <c r="A49" s="214" t="s">
        <v>222</v>
      </c>
    </row>
    <row r="50" spans="1:7" x14ac:dyDescent="0.2">
      <c r="A50" s="233" t="s">
        <v>194</v>
      </c>
      <c r="B50" s="240" t="s">
        <v>223</v>
      </c>
    </row>
    <row r="51" spans="1:7" s="217" customFormat="1" x14ac:dyDescent="0.2">
      <c r="C51" s="214" t="s">
        <v>224</v>
      </c>
    </row>
    <row r="52" spans="1:7" s="217" customFormat="1" x14ac:dyDescent="0.2">
      <c r="A52" s="233"/>
      <c r="B52" s="214"/>
      <c r="C52" s="217" t="s">
        <v>225</v>
      </c>
    </row>
    <row r="53" spans="1:7" s="217" customFormat="1" x14ac:dyDescent="0.2">
      <c r="A53" s="233"/>
      <c r="B53" s="214"/>
      <c r="C53" s="217" t="s">
        <v>226</v>
      </c>
    </row>
    <row r="54" spans="1:7" s="217" customFormat="1" x14ac:dyDescent="0.2">
      <c r="A54" s="233"/>
      <c r="B54" s="217" t="s">
        <v>227</v>
      </c>
    </row>
    <row r="55" spans="1:7" s="217" customFormat="1" x14ac:dyDescent="0.2">
      <c r="A55" s="241"/>
      <c r="B55" s="217" t="s">
        <v>228</v>
      </c>
    </row>
    <row r="56" spans="1:7" s="217" customFormat="1" x14ac:dyDescent="0.2">
      <c r="A56" s="241"/>
      <c r="C56" s="217" t="s">
        <v>229</v>
      </c>
    </row>
    <row r="57" spans="1:7" s="217" customFormat="1" x14ac:dyDescent="0.2">
      <c r="A57" s="241"/>
      <c r="B57" s="217" t="s">
        <v>230</v>
      </c>
    </row>
    <row r="58" spans="1:7" s="217" customFormat="1" x14ac:dyDescent="0.2">
      <c r="A58" s="241"/>
      <c r="C58" s="217" t="s">
        <v>231</v>
      </c>
    </row>
    <row r="59" spans="1:7" s="217" customFormat="1" x14ac:dyDescent="0.2">
      <c r="A59" s="396" t="s">
        <v>420</v>
      </c>
    </row>
    <row r="60" spans="1:7" x14ac:dyDescent="0.2">
      <c r="B60" s="255" t="s">
        <v>349</v>
      </c>
      <c r="C60" s="255"/>
    </row>
    <row r="61" spans="1:7" x14ac:dyDescent="0.2">
      <c r="A61" s="396" t="s">
        <v>323</v>
      </c>
      <c r="B61" s="255"/>
      <c r="C61" s="255"/>
      <c r="G61" s="243"/>
    </row>
    <row r="62" spans="1:7" x14ac:dyDescent="0.2">
      <c r="A62" s="255"/>
      <c r="B62" s="255" t="s">
        <v>322</v>
      </c>
      <c r="C62" s="255"/>
      <c r="G62" s="243"/>
    </row>
    <row r="63" spans="1:7" x14ac:dyDescent="0.2">
      <c r="A63" s="255"/>
      <c r="B63" s="255" t="s">
        <v>264</v>
      </c>
      <c r="C63" s="255"/>
      <c r="G63" s="243"/>
    </row>
    <row r="64" spans="1:7" x14ac:dyDescent="0.2">
      <c r="A64" s="255"/>
      <c r="B64" s="255" t="s">
        <v>259</v>
      </c>
      <c r="C64" s="255"/>
      <c r="G64" s="243"/>
    </row>
    <row r="65" spans="1:7" x14ac:dyDescent="0.2">
      <c r="A65" s="255"/>
      <c r="C65" s="255" t="s">
        <v>319</v>
      </c>
      <c r="G65" s="243"/>
    </row>
    <row r="66" spans="1:7" x14ac:dyDescent="0.2">
      <c r="A66" s="255"/>
      <c r="B66" s="255" t="s">
        <v>266</v>
      </c>
      <c r="C66" s="255"/>
      <c r="G66" s="243"/>
    </row>
    <row r="67" spans="1:7" x14ac:dyDescent="0.2">
      <c r="A67" s="255"/>
      <c r="B67" s="255" t="s">
        <v>270</v>
      </c>
      <c r="C67" s="255"/>
      <c r="G67" s="243"/>
    </row>
    <row r="68" spans="1:7" x14ac:dyDescent="0.2">
      <c r="A68" s="255"/>
      <c r="B68" s="255" t="s">
        <v>369</v>
      </c>
      <c r="C68" s="255"/>
      <c r="G68" s="243"/>
    </row>
    <row r="69" spans="1:7" x14ac:dyDescent="0.2">
      <c r="A69" s="396" t="s">
        <v>325</v>
      </c>
      <c r="B69" s="255"/>
      <c r="C69" s="255"/>
      <c r="G69" s="243"/>
    </row>
    <row r="70" spans="1:7" x14ac:dyDescent="0.2">
      <c r="A70" s="255"/>
      <c r="B70" s="255" t="s">
        <v>314</v>
      </c>
      <c r="C70" s="255"/>
      <c r="G70" s="243"/>
    </row>
    <row r="71" spans="1:7" x14ac:dyDescent="0.2">
      <c r="A71" s="396" t="s">
        <v>324</v>
      </c>
      <c r="B71" s="255"/>
      <c r="C71" s="255"/>
      <c r="G71" s="243"/>
    </row>
    <row r="72" spans="1:7" x14ac:dyDescent="0.2">
      <c r="A72" s="255"/>
      <c r="B72" s="255" t="s">
        <v>341</v>
      </c>
      <c r="C72" s="255"/>
      <c r="G72" s="243"/>
    </row>
    <row r="73" spans="1:7" x14ac:dyDescent="0.2">
      <c r="A73" s="255"/>
      <c r="B73" s="255"/>
      <c r="C73" s="255" t="s">
        <v>431</v>
      </c>
      <c r="G73" s="243"/>
    </row>
    <row r="74" spans="1:7" x14ac:dyDescent="0.2">
      <c r="A74" s="255"/>
      <c r="B74" s="255"/>
      <c r="C74" s="255" t="s">
        <v>328</v>
      </c>
      <c r="G74" s="243"/>
    </row>
    <row r="75" spans="1:7" x14ac:dyDescent="0.2">
      <c r="A75" s="255"/>
      <c r="B75" s="255" t="s">
        <v>332</v>
      </c>
      <c r="C75" s="255"/>
      <c r="G75" s="243"/>
    </row>
    <row r="76" spans="1:7" x14ac:dyDescent="0.2">
      <c r="A76" s="255"/>
      <c r="B76" s="255"/>
      <c r="C76" s="255" t="s">
        <v>331</v>
      </c>
      <c r="G76" s="243"/>
    </row>
    <row r="77" spans="1:7" x14ac:dyDescent="0.2">
      <c r="A77" s="255"/>
      <c r="B77" s="255" t="s">
        <v>257</v>
      </c>
      <c r="C77" s="255"/>
      <c r="G77" s="243"/>
    </row>
    <row r="78" spans="1:7" x14ac:dyDescent="0.2">
      <c r="A78" s="396" t="s">
        <v>432</v>
      </c>
      <c r="B78" s="255"/>
      <c r="C78" s="255"/>
    </row>
    <row r="79" spans="1:7" x14ac:dyDescent="0.2">
      <c r="A79" s="255"/>
      <c r="B79" s="255" t="s">
        <v>327</v>
      </c>
      <c r="C79" s="255"/>
    </row>
    <row r="80" spans="1:7" x14ac:dyDescent="0.2">
      <c r="A80" s="255"/>
      <c r="B80" s="255" t="s">
        <v>260</v>
      </c>
      <c r="C80" s="255"/>
    </row>
    <row r="81" spans="1:4" x14ac:dyDescent="0.2">
      <c r="A81" s="255"/>
      <c r="C81" s="255" t="s">
        <v>261</v>
      </c>
    </row>
    <row r="82" spans="1:4" x14ac:dyDescent="0.2">
      <c r="A82" s="255"/>
      <c r="B82" s="255" t="s">
        <v>249</v>
      </c>
      <c r="C82" s="255"/>
    </row>
    <row r="83" spans="1:4" x14ac:dyDescent="0.2">
      <c r="A83" s="255"/>
      <c r="C83" s="255" t="s">
        <v>262</v>
      </c>
    </row>
    <row r="84" spans="1:4" x14ac:dyDescent="0.2">
      <c r="A84" s="255"/>
      <c r="C84" s="255" t="s">
        <v>290</v>
      </c>
    </row>
    <row r="85" spans="1:4" x14ac:dyDescent="0.2">
      <c r="A85" s="255"/>
      <c r="B85" s="255" t="s">
        <v>255</v>
      </c>
      <c r="C85" s="255"/>
    </row>
    <row r="86" spans="1:4" x14ac:dyDescent="0.2">
      <c r="A86" s="255"/>
      <c r="B86" s="255"/>
      <c r="C86" s="255" t="s">
        <v>256</v>
      </c>
    </row>
    <row r="87" spans="1:4" x14ac:dyDescent="0.2">
      <c r="A87" s="255"/>
      <c r="B87" s="255"/>
      <c r="C87" s="255"/>
      <c r="D87" s="255" t="s">
        <v>247</v>
      </c>
    </row>
    <row r="88" spans="1:4" x14ac:dyDescent="0.2">
      <c r="A88" s="255"/>
      <c r="B88" s="255" t="s">
        <v>265</v>
      </c>
      <c r="C88" s="255"/>
      <c r="D88" s="255"/>
    </row>
    <row r="89" spans="1:4" x14ac:dyDescent="0.2">
      <c r="A89" s="255"/>
      <c r="B89" s="242"/>
      <c r="C89" s="255" t="s">
        <v>267</v>
      </c>
      <c r="D89" s="255"/>
    </row>
    <row r="90" spans="1:4" x14ac:dyDescent="0.2">
      <c r="A90" s="396" t="s">
        <v>307</v>
      </c>
      <c r="C90" s="255"/>
      <c r="D90" s="255"/>
    </row>
    <row r="91" spans="1:4" x14ac:dyDescent="0.2">
      <c r="A91" s="255"/>
      <c r="B91" s="255" t="s">
        <v>308</v>
      </c>
      <c r="C91" s="255"/>
      <c r="D91" s="255"/>
    </row>
    <row r="92" spans="1:4" x14ac:dyDescent="0.2">
      <c r="A92" s="255"/>
      <c r="B92" s="255" t="s">
        <v>309</v>
      </c>
      <c r="C92" s="255"/>
      <c r="D92" s="255"/>
    </row>
    <row r="93" spans="1:4" x14ac:dyDescent="0.2">
      <c r="A93" s="255"/>
      <c r="B93" s="255" t="s">
        <v>321</v>
      </c>
      <c r="C93" s="255"/>
      <c r="D93" s="255"/>
    </row>
    <row r="94" spans="1:4" x14ac:dyDescent="0.2">
      <c r="A94" s="255"/>
      <c r="B94" s="255" t="s">
        <v>310</v>
      </c>
      <c r="C94" s="255"/>
      <c r="D94" s="255"/>
    </row>
    <row r="95" spans="1:4" x14ac:dyDescent="0.2">
      <c r="A95" s="255"/>
      <c r="B95" s="255" t="s">
        <v>320</v>
      </c>
      <c r="C95" s="255"/>
      <c r="D95" s="255"/>
    </row>
    <row r="96" spans="1:4" x14ac:dyDescent="0.2">
      <c r="A96" s="396" t="s">
        <v>326</v>
      </c>
    </row>
    <row r="97" spans="1:4" x14ac:dyDescent="0.2">
      <c r="A97" s="255"/>
      <c r="B97" s="255" t="s">
        <v>244</v>
      </c>
      <c r="C97" s="255"/>
    </row>
    <row r="98" spans="1:4" x14ac:dyDescent="0.2">
      <c r="A98" s="255"/>
      <c r="B98" s="255"/>
      <c r="C98" s="255" t="s">
        <v>245</v>
      </c>
    </row>
    <row r="99" spans="1:4" x14ac:dyDescent="0.2">
      <c r="A99" s="255"/>
      <c r="B99" s="255"/>
      <c r="C99" s="255" t="s">
        <v>246</v>
      </c>
    </row>
    <row r="100" spans="1:4" x14ac:dyDescent="0.2">
      <c r="A100" s="255"/>
      <c r="B100" s="255"/>
      <c r="C100" s="255" t="s">
        <v>263</v>
      </c>
    </row>
    <row r="101" spans="1:4" x14ac:dyDescent="0.2">
      <c r="A101" s="396" t="s">
        <v>333</v>
      </c>
      <c r="C101" s="255"/>
    </row>
    <row r="102" spans="1:4" x14ac:dyDescent="0.2">
      <c r="B102" s="255" t="s">
        <v>334</v>
      </c>
      <c r="C102" s="255"/>
    </row>
    <row r="103" spans="1:4" x14ac:dyDescent="0.2">
      <c r="A103" s="255"/>
      <c r="B103" s="255" t="s">
        <v>340</v>
      </c>
      <c r="C103" s="255"/>
    </row>
    <row r="104" spans="1:4" x14ac:dyDescent="0.2">
      <c r="A104" s="396" t="s">
        <v>329</v>
      </c>
    </row>
    <row r="105" spans="1:4" x14ac:dyDescent="0.2">
      <c r="A105" s="255"/>
      <c r="B105" s="255" t="s">
        <v>330</v>
      </c>
    </row>
    <row r="106" spans="1:4" x14ac:dyDescent="0.2">
      <c r="A106" s="396" t="s">
        <v>342</v>
      </c>
    </row>
    <row r="107" spans="1:4" x14ac:dyDescent="0.2">
      <c r="A107" s="396"/>
      <c r="B107" s="255" t="s">
        <v>343</v>
      </c>
    </row>
    <row r="108" spans="1:4" x14ac:dyDescent="0.2">
      <c r="A108" s="255"/>
      <c r="B108" s="255" t="s">
        <v>348</v>
      </c>
      <c r="C108" s="255"/>
    </row>
    <row r="109" spans="1:4" x14ac:dyDescent="0.2">
      <c r="A109" s="255"/>
      <c r="B109" s="255"/>
      <c r="C109" s="255" t="s">
        <v>347</v>
      </c>
    </row>
    <row r="110" spans="1:4" x14ac:dyDescent="0.2">
      <c r="A110" s="255"/>
      <c r="B110" s="255"/>
      <c r="C110" s="255"/>
      <c r="D110" s="255" t="s">
        <v>346</v>
      </c>
    </row>
    <row r="111" spans="1:4" x14ac:dyDescent="0.2">
      <c r="A111" s="255"/>
      <c r="C111" s="255" t="s">
        <v>350</v>
      </c>
    </row>
    <row r="112" spans="1:4" x14ac:dyDescent="0.2">
      <c r="A112" s="255"/>
      <c r="D112" s="255" t="s">
        <v>351</v>
      </c>
    </row>
    <row r="113" spans="1:4" x14ac:dyDescent="0.2">
      <c r="A113" s="255"/>
      <c r="C113" s="399" t="s">
        <v>317</v>
      </c>
    </row>
    <row r="114" spans="1:4" x14ac:dyDescent="0.2">
      <c r="A114" s="255"/>
      <c r="D114" s="399" t="s">
        <v>318</v>
      </c>
    </row>
    <row r="115" spans="1:4" x14ac:dyDescent="0.2">
      <c r="D115" s="399" t="s">
        <v>312</v>
      </c>
    </row>
    <row r="116" spans="1:4" x14ac:dyDescent="0.2">
      <c r="A116" s="396" t="s">
        <v>344</v>
      </c>
      <c r="B116" s="255"/>
    </row>
    <row r="117" spans="1:4" customFormat="1" x14ac:dyDescent="0.2">
      <c r="A117" s="255"/>
      <c r="B117" s="255" t="s">
        <v>345</v>
      </c>
      <c r="C117" s="255"/>
    </row>
    <row r="118" spans="1:4" customFormat="1" x14ac:dyDescent="0.2">
      <c r="A118" s="255"/>
      <c r="B118" s="255"/>
      <c r="C118" s="255" t="s">
        <v>295</v>
      </c>
    </row>
    <row r="119" spans="1:4" customFormat="1" x14ac:dyDescent="0.2">
      <c r="A119" s="255"/>
      <c r="B119" s="255"/>
      <c r="C119" s="255" t="s">
        <v>296</v>
      </c>
    </row>
    <row r="120" spans="1:4" x14ac:dyDescent="0.2">
      <c r="A120" s="396" t="s">
        <v>335</v>
      </c>
    </row>
    <row r="121" spans="1:4" x14ac:dyDescent="0.2">
      <c r="A121" s="255"/>
      <c r="B121" s="255" t="s">
        <v>337</v>
      </c>
      <c r="D121" s="255" t="s">
        <v>358</v>
      </c>
    </row>
    <row r="122" spans="1:4" x14ac:dyDescent="0.2">
      <c r="A122" s="255"/>
      <c r="B122" s="255"/>
      <c r="D122" s="255" t="s">
        <v>338</v>
      </c>
    </row>
    <row r="123" spans="1:4" x14ac:dyDescent="0.2">
      <c r="A123" s="255"/>
      <c r="B123" s="255" t="s">
        <v>353</v>
      </c>
      <c r="D123" s="255" t="s">
        <v>336</v>
      </c>
    </row>
    <row r="124" spans="1:4" x14ac:dyDescent="0.2">
      <c r="A124" s="255"/>
      <c r="D124" s="255" t="s">
        <v>248</v>
      </c>
    </row>
    <row r="125" spans="1:4" x14ac:dyDescent="0.2">
      <c r="A125" s="255"/>
      <c r="D125" s="255" t="s">
        <v>359</v>
      </c>
    </row>
    <row r="126" spans="1:4" x14ac:dyDescent="0.2">
      <c r="A126" s="255"/>
      <c r="B126" s="255" t="s">
        <v>339</v>
      </c>
      <c r="D126" s="255" t="s">
        <v>272</v>
      </c>
    </row>
    <row r="127" spans="1:4" x14ac:dyDescent="0.2">
      <c r="A127" s="255"/>
      <c r="C127" s="255"/>
      <c r="D127" s="255" t="s">
        <v>280</v>
      </c>
    </row>
    <row r="128" spans="1:4" x14ac:dyDescent="0.2">
      <c r="A128" s="255"/>
      <c r="C128" s="255"/>
      <c r="D128" s="255" t="s">
        <v>271</v>
      </c>
    </row>
    <row r="129" spans="1:5" s="217" customFormat="1" x14ac:dyDescent="0.2">
      <c r="A129" s="241"/>
      <c r="B129" s="402" t="s">
        <v>354</v>
      </c>
      <c r="D129" s="402" t="s">
        <v>360</v>
      </c>
    </row>
    <row r="130" spans="1:5" s="217" customFormat="1" x14ac:dyDescent="0.2">
      <c r="A130" s="396" t="s">
        <v>376</v>
      </c>
      <c r="B130" s="402"/>
      <c r="D130" s="402"/>
    </row>
    <row r="131" spans="1:5" s="217" customFormat="1" x14ac:dyDescent="0.2">
      <c r="A131" s="241"/>
      <c r="B131" s="474">
        <v>37116</v>
      </c>
      <c r="C131" s="474"/>
      <c r="D131" s="402" t="s">
        <v>373</v>
      </c>
    </row>
    <row r="132" spans="1:5" s="217" customFormat="1" x14ac:dyDescent="0.2">
      <c r="A132" s="241"/>
      <c r="B132" s="474">
        <v>37126</v>
      </c>
      <c r="C132" s="474"/>
      <c r="D132" s="402" t="s">
        <v>377</v>
      </c>
      <c r="E132" s="402"/>
    </row>
    <row r="133" spans="1:5" s="217" customFormat="1" x14ac:dyDescent="0.2">
      <c r="A133" s="241"/>
      <c r="B133" s="407"/>
      <c r="C133" s="407"/>
      <c r="D133" s="402" t="s">
        <v>378</v>
      </c>
      <c r="E133" s="402"/>
    </row>
    <row r="134" spans="1:5" s="217" customFormat="1" x14ac:dyDescent="0.2">
      <c r="A134" s="241"/>
      <c r="B134" s="407"/>
      <c r="C134" s="407"/>
      <c r="D134" s="402" t="s">
        <v>380</v>
      </c>
      <c r="E134" s="402"/>
    </row>
    <row r="135" spans="1:5" s="217" customFormat="1" x14ac:dyDescent="0.2">
      <c r="A135" s="241"/>
      <c r="B135" s="407"/>
      <c r="C135" s="407"/>
      <c r="D135" s="402" t="s">
        <v>379</v>
      </c>
      <c r="E135" s="402"/>
    </row>
    <row r="136" spans="1:5" s="217" customFormat="1" x14ac:dyDescent="0.2">
      <c r="A136" s="241"/>
      <c r="B136" s="407"/>
      <c r="C136" s="407"/>
      <c r="D136" s="402" t="s">
        <v>385</v>
      </c>
      <c r="E136" s="402"/>
    </row>
    <row r="137" spans="1:5" s="217" customFormat="1" x14ac:dyDescent="0.2">
      <c r="A137" s="241"/>
      <c r="B137" s="474">
        <v>37127</v>
      </c>
      <c r="C137" s="474"/>
      <c r="D137" s="402" t="s">
        <v>384</v>
      </c>
      <c r="E137" s="402"/>
    </row>
    <row r="138" spans="1:5" s="217" customFormat="1" x14ac:dyDescent="0.2">
      <c r="A138" s="241"/>
      <c r="B138" s="407"/>
      <c r="C138" s="407"/>
      <c r="E138" s="402" t="s">
        <v>383</v>
      </c>
    </row>
    <row r="139" spans="1:5" s="217" customFormat="1" x14ac:dyDescent="0.2">
      <c r="A139" s="241"/>
      <c r="B139" s="474">
        <v>37129</v>
      </c>
      <c r="C139" s="474"/>
      <c r="D139" s="402" t="s">
        <v>387</v>
      </c>
      <c r="E139" s="402"/>
    </row>
    <row r="140" spans="1:5" s="217" customFormat="1" x14ac:dyDescent="0.2">
      <c r="A140" s="241"/>
      <c r="B140" s="407"/>
      <c r="C140" s="407"/>
      <c r="D140" s="402" t="s">
        <v>389</v>
      </c>
      <c r="E140" s="402"/>
    </row>
    <row r="141" spans="1:5" s="217" customFormat="1" x14ac:dyDescent="0.2">
      <c r="A141" s="241"/>
      <c r="B141" s="407"/>
      <c r="C141" s="407"/>
      <c r="D141" s="402" t="s">
        <v>386</v>
      </c>
      <c r="E141" s="402"/>
    </row>
    <row r="142" spans="1:5" s="217" customFormat="1" x14ac:dyDescent="0.2">
      <c r="A142" s="241"/>
      <c r="B142" s="407"/>
      <c r="C142" s="407"/>
      <c r="D142" s="402" t="s">
        <v>388</v>
      </c>
      <c r="E142" s="402"/>
    </row>
    <row r="143" spans="1:5" s="217" customFormat="1" x14ac:dyDescent="0.2">
      <c r="A143" s="415" t="s">
        <v>391</v>
      </c>
      <c r="B143" s="416"/>
      <c r="C143" s="416"/>
      <c r="D143" s="416"/>
      <c r="E143" s="402"/>
    </row>
    <row r="144" spans="1:5" s="217" customFormat="1" x14ac:dyDescent="0.2">
      <c r="A144" s="417"/>
      <c r="B144" s="475">
        <v>37180</v>
      </c>
      <c r="C144" s="475"/>
      <c r="D144" s="416" t="s">
        <v>393</v>
      </c>
      <c r="E144" s="402"/>
    </row>
    <row r="145" spans="1:5" s="217" customFormat="1" x14ac:dyDescent="0.2">
      <c r="A145" s="241"/>
      <c r="B145" s="407"/>
      <c r="C145" s="407"/>
      <c r="D145" s="416" t="s">
        <v>404</v>
      </c>
      <c r="E145" s="402"/>
    </row>
    <row r="146" spans="1:5" s="217" customFormat="1" x14ac:dyDescent="0.2">
      <c r="A146" s="241"/>
      <c r="B146" s="407"/>
      <c r="C146" s="407"/>
      <c r="D146" s="416"/>
      <c r="E146" s="416" t="s">
        <v>417</v>
      </c>
    </row>
    <row r="147" spans="1:5" s="217" customFormat="1" x14ac:dyDescent="0.2">
      <c r="A147" s="241"/>
      <c r="B147" s="407"/>
      <c r="C147" s="407"/>
      <c r="D147" s="416"/>
      <c r="E147" s="416" t="s">
        <v>418</v>
      </c>
    </row>
    <row r="148" spans="1:5" s="217" customFormat="1" x14ac:dyDescent="0.2">
      <c r="A148" s="241"/>
      <c r="B148" s="407"/>
      <c r="C148" s="407"/>
      <c r="D148" s="416"/>
      <c r="E148" s="423" t="s">
        <v>419</v>
      </c>
    </row>
    <row r="149" spans="1:5" s="217" customFormat="1" x14ac:dyDescent="0.2">
      <c r="A149" s="241"/>
      <c r="B149" s="407"/>
      <c r="C149" s="407"/>
      <c r="D149" s="416" t="s">
        <v>397</v>
      </c>
      <c r="E149" s="402"/>
    </row>
    <row r="150" spans="1:5" s="217" customFormat="1" x14ac:dyDescent="0.2">
      <c r="A150" s="241"/>
      <c r="B150" s="407"/>
      <c r="C150" s="407"/>
      <c r="D150" s="416" t="s">
        <v>392</v>
      </c>
      <c r="E150" s="402"/>
    </row>
    <row r="151" spans="1:5" s="217" customFormat="1" x14ac:dyDescent="0.2">
      <c r="A151" s="241"/>
      <c r="B151" s="407"/>
      <c r="C151" s="407"/>
      <c r="D151" s="416" t="s">
        <v>395</v>
      </c>
      <c r="E151" s="402"/>
    </row>
    <row r="152" spans="1:5" s="217" customFormat="1" x14ac:dyDescent="0.2">
      <c r="A152" s="241"/>
      <c r="B152" s="407"/>
      <c r="D152" s="416" t="s">
        <v>396</v>
      </c>
      <c r="E152" s="402"/>
    </row>
    <row r="153" spans="1:5" s="217" customFormat="1" x14ac:dyDescent="0.2">
      <c r="A153" s="241"/>
      <c r="B153" s="407"/>
      <c r="C153" s="407"/>
      <c r="D153" s="416" t="s">
        <v>430</v>
      </c>
      <c r="E153" s="402"/>
    </row>
    <row r="154" spans="1:5" s="217" customFormat="1" x14ac:dyDescent="0.2">
      <c r="A154" s="422" t="s">
        <v>401</v>
      </c>
      <c r="B154" s="423"/>
      <c r="C154" s="423"/>
      <c r="D154" s="423"/>
      <c r="E154" s="402"/>
    </row>
    <row r="155" spans="1:5" s="217" customFormat="1" x14ac:dyDescent="0.2">
      <c r="A155" s="432"/>
      <c r="B155" s="469">
        <v>37181</v>
      </c>
      <c r="C155" s="469"/>
      <c r="D155" s="423" t="s">
        <v>405</v>
      </c>
      <c r="E155" s="402"/>
    </row>
    <row r="156" spans="1:5" s="217" customFormat="1" x14ac:dyDescent="0.2">
      <c r="A156" s="432"/>
      <c r="B156" s="433"/>
      <c r="C156" s="433"/>
      <c r="D156" s="423" t="s">
        <v>402</v>
      </c>
      <c r="E156" s="402"/>
    </row>
    <row r="157" spans="1:5" s="217" customFormat="1" x14ac:dyDescent="0.2">
      <c r="A157" s="432"/>
      <c r="B157" s="433"/>
      <c r="C157" s="433"/>
      <c r="D157" s="423" t="s">
        <v>403</v>
      </c>
      <c r="E157" s="402"/>
    </row>
    <row r="158" spans="1:5" s="217" customFormat="1" x14ac:dyDescent="0.2">
      <c r="A158" s="432"/>
      <c r="B158" s="469">
        <v>37182</v>
      </c>
      <c r="C158" s="469"/>
      <c r="D158" s="423" t="s">
        <v>435</v>
      </c>
      <c r="E158" s="402"/>
    </row>
    <row r="159" spans="1:5" s="217" customFormat="1" x14ac:dyDescent="0.2">
      <c r="A159" s="432"/>
      <c r="B159" s="433"/>
      <c r="C159" s="433"/>
      <c r="D159" s="423"/>
      <c r="E159" s="423" t="s">
        <v>436</v>
      </c>
    </row>
    <row r="160" spans="1:5" s="217" customFormat="1" x14ac:dyDescent="0.2">
      <c r="A160" s="432"/>
      <c r="B160" s="469">
        <v>37188</v>
      </c>
      <c r="C160" s="469"/>
      <c r="D160" s="423" t="s">
        <v>406</v>
      </c>
      <c r="E160" s="402"/>
    </row>
    <row r="161" spans="1:10" s="217" customFormat="1" x14ac:dyDescent="0.2">
      <c r="A161" s="432"/>
      <c r="B161" s="469">
        <v>37194</v>
      </c>
      <c r="C161" s="469"/>
      <c r="D161" s="423" t="s">
        <v>407</v>
      </c>
      <c r="E161" s="402"/>
    </row>
    <row r="162" spans="1:10" s="217" customFormat="1" x14ac:dyDescent="0.2">
      <c r="A162" s="432"/>
      <c r="B162" s="433"/>
      <c r="C162" s="433"/>
      <c r="D162" s="423" t="s">
        <v>408</v>
      </c>
      <c r="E162" s="402"/>
    </row>
    <row r="163" spans="1:10" s="217" customFormat="1" x14ac:dyDescent="0.2">
      <c r="A163" s="432"/>
      <c r="B163" s="433"/>
      <c r="C163" s="433"/>
      <c r="D163" s="423" t="s">
        <v>409</v>
      </c>
      <c r="E163" s="402"/>
    </row>
    <row r="164" spans="1:10" s="217" customFormat="1" x14ac:dyDescent="0.2">
      <c r="A164" s="432"/>
      <c r="B164" s="469">
        <v>37195</v>
      </c>
      <c r="C164" s="469"/>
      <c r="D164" s="452" t="s">
        <v>410</v>
      </c>
      <c r="E164" s="402"/>
    </row>
    <row r="165" spans="1:10" s="217" customFormat="1" x14ac:dyDescent="0.2">
      <c r="A165" s="432"/>
      <c r="B165" s="433"/>
      <c r="C165" s="433"/>
      <c r="D165" s="463" t="s">
        <v>437</v>
      </c>
      <c r="E165" s="402"/>
    </row>
    <row r="166" spans="1:10" s="217" customFormat="1" x14ac:dyDescent="0.2">
      <c r="A166" s="432"/>
      <c r="B166" s="433"/>
      <c r="C166" s="433"/>
      <c r="D166" s="463"/>
      <c r="E166" s="452" t="s">
        <v>416</v>
      </c>
      <c r="J166" s="452"/>
    </row>
    <row r="167" spans="1:10" s="217" customFormat="1" x14ac:dyDescent="0.2">
      <c r="A167" s="432"/>
      <c r="B167" s="470">
        <v>37196</v>
      </c>
      <c r="C167" s="470"/>
      <c r="D167" s="463" t="s">
        <v>428</v>
      </c>
      <c r="E167" s="402"/>
      <c r="J167" s="452"/>
    </row>
    <row r="168" spans="1:10" s="221" customFormat="1" x14ac:dyDescent="0.2">
      <c r="A168" s="219" t="s">
        <v>232</v>
      </c>
    </row>
    <row r="169" spans="1:10" x14ac:dyDescent="0.2">
      <c r="A169" s="214" t="s">
        <v>234</v>
      </c>
    </row>
    <row r="170" spans="1:10" x14ac:dyDescent="0.2">
      <c r="A170" s="214" t="s">
        <v>235</v>
      </c>
    </row>
    <row r="171" spans="1:10" x14ac:dyDescent="0.2">
      <c r="A171" s="214" t="s">
        <v>243</v>
      </c>
      <c r="B171" s="216" t="s">
        <v>425</v>
      </c>
      <c r="H171" s="214" t="s">
        <v>426</v>
      </c>
    </row>
    <row r="172" spans="1:10" s="217" customFormat="1" x14ac:dyDescent="0.2">
      <c r="A172" s="255" t="s">
        <v>357</v>
      </c>
    </row>
    <row r="173" spans="1:10" x14ac:dyDescent="0.2">
      <c r="B173" s="255" t="s">
        <v>375</v>
      </c>
    </row>
    <row r="174" spans="1:10" x14ac:dyDescent="0.2">
      <c r="A174" s="255"/>
      <c r="B174" s="255" t="s">
        <v>374</v>
      </c>
    </row>
    <row r="175" spans="1:10" x14ac:dyDescent="0.2">
      <c r="B175" s="255" t="s">
        <v>258</v>
      </c>
    </row>
    <row r="176" spans="1:10" x14ac:dyDescent="0.2">
      <c r="A176" s="255" t="s">
        <v>381</v>
      </c>
    </row>
    <row r="177" spans="1:2" x14ac:dyDescent="0.2">
      <c r="A177" s="255"/>
      <c r="B177" s="255" t="s">
        <v>355</v>
      </c>
    </row>
    <row r="178" spans="1:2" x14ac:dyDescent="0.2">
      <c r="A178" s="255"/>
      <c r="B178" s="255" t="s">
        <v>356</v>
      </c>
    </row>
    <row r="179" spans="1:2" x14ac:dyDescent="0.2">
      <c r="A179" s="255"/>
      <c r="B179" s="255" t="s">
        <v>382</v>
      </c>
    </row>
    <row r="180" spans="1:2" x14ac:dyDescent="0.2">
      <c r="A180" s="255" t="s">
        <v>315</v>
      </c>
    </row>
    <row r="181" spans="1:2" x14ac:dyDescent="0.2">
      <c r="A181" s="255" t="s">
        <v>370</v>
      </c>
    </row>
    <row r="182" spans="1:2" x14ac:dyDescent="0.2">
      <c r="A182" s="255"/>
      <c r="B182" s="255" t="s">
        <v>371</v>
      </c>
    </row>
    <row r="183" spans="1:2" x14ac:dyDescent="0.2">
      <c r="A183" s="449" t="s">
        <v>422</v>
      </c>
      <c r="B183" s="255"/>
    </row>
    <row r="184" spans="1:2" x14ac:dyDescent="0.2">
      <c r="A184" s="214" t="s">
        <v>233</v>
      </c>
    </row>
    <row r="185" spans="1:2" x14ac:dyDescent="0.2">
      <c r="A185" s="214" t="s">
        <v>236</v>
      </c>
    </row>
    <row r="186" spans="1:2" x14ac:dyDescent="0.2">
      <c r="A186" s="450" t="s">
        <v>415</v>
      </c>
    </row>
    <row r="187" spans="1:2" x14ac:dyDescent="0.2">
      <c r="A187" s="450" t="s">
        <v>421</v>
      </c>
    </row>
    <row r="188" spans="1:2" x14ac:dyDescent="0.2">
      <c r="A188" s="214" t="s">
        <v>237</v>
      </c>
    </row>
    <row r="189" spans="1:2" x14ac:dyDescent="0.2">
      <c r="A189" s="214" t="s">
        <v>238</v>
      </c>
    </row>
    <row r="190" spans="1:2" x14ac:dyDescent="0.2">
      <c r="A190" s="214" t="s">
        <v>239</v>
      </c>
    </row>
    <row r="191" spans="1:2" x14ac:dyDescent="0.2">
      <c r="B191" s="255" t="s">
        <v>316</v>
      </c>
    </row>
    <row r="192" spans="1:2" x14ac:dyDescent="0.2">
      <c r="A192" s="214" t="s">
        <v>240</v>
      </c>
    </row>
    <row r="193" spans="1:3" x14ac:dyDescent="0.2">
      <c r="A193" s="214" t="s">
        <v>241</v>
      </c>
    </row>
    <row r="194" spans="1:3" x14ac:dyDescent="0.2">
      <c r="A194" s="214" t="s">
        <v>242</v>
      </c>
    </row>
    <row r="195" spans="1:3" x14ac:dyDescent="0.2">
      <c r="A195" s="450" t="s">
        <v>411</v>
      </c>
    </row>
    <row r="196" spans="1:3" x14ac:dyDescent="0.2">
      <c r="A196" s="232"/>
      <c r="B196" s="449" t="s">
        <v>433</v>
      </c>
    </row>
    <row r="197" spans="1:3" x14ac:dyDescent="0.2">
      <c r="A197" s="232"/>
      <c r="B197" s="449"/>
      <c r="C197" s="449" t="s">
        <v>434</v>
      </c>
    </row>
    <row r="198" spans="1:3" x14ac:dyDescent="0.2">
      <c r="A198" s="232"/>
      <c r="B198" s="449" t="s">
        <v>412</v>
      </c>
    </row>
    <row r="199" spans="1:3" x14ac:dyDescent="0.2">
      <c r="A199" s="232"/>
      <c r="B199" s="449" t="s">
        <v>413</v>
      </c>
    </row>
    <row r="200" spans="1:3" x14ac:dyDescent="0.2">
      <c r="B200" s="449"/>
    </row>
  </sheetData>
  <mergeCells count="13">
    <mergeCell ref="B155:C155"/>
    <mergeCell ref="B144:C144"/>
    <mergeCell ref="B139:C139"/>
    <mergeCell ref="B161:C161"/>
    <mergeCell ref="B160:C160"/>
    <mergeCell ref="B167:C167"/>
    <mergeCell ref="B164:C164"/>
    <mergeCell ref="B18:K18"/>
    <mergeCell ref="B34:K34"/>
    <mergeCell ref="B131:C131"/>
    <mergeCell ref="B132:C132"/>
    <mergeCell ref="B137:C137"/>
    <mergeCell ref="B158:C158"/>
  </mergeCells>
  <hyperlinks>
    <hyperlink ref="B18" r:id="rId1"/>
    <hyperlink ref="B34" r:id="rId2" display="http://grouper.ieee.org/groups/802/3/10G_study/public/email_attach/All_1250.xls"/>
    <hyperlink ref="B34:K34" r:id="rId3" display="http://grouper.ieee.org/groups/802/3/10G_study/public/email_attach/All_1250v2.xls"/>
    <hyperlink ref="C3" r:id="rId4"/>
    <hyperlink ref="B20" r:id="rId5"/>
    <hyperlink ref="D164" location="A185" display="A185"/>
    <hyperlink ref="E166" r:id="rId6"/>
    <hyperlink ref="G5" r:id="rId7"/>
    <hyperlink ref="B171" r:id="rId8"/>
  </hyperlinks>
  <printOptions horizontalCentered="1"/>
  <pageMargins left="0.75" right="0.75" top="0.75" bottom="0.75" header="0.5" footer="0.5"/>
  <pageSetup scale="80" fitToHeight="3" orientation="portrait" r:id="rId9"/>
  <headerFooter alignWithMargins="0">
    <oddHeader xml:space="preserve">&amp;CSpreadsheet by Agilent Technologies&amp;R </oddHeader>
    <oddFooter>&amp;L&amp;F tab &amp;A page &amp;P of &amp;N&amp;RPrinted &amp;T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7" sqref="T7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9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0" t="str">
        <f>Notes!A1</f>
        <v>10GEPBud3_1_16a.xls</v>
      </c>
      <c r="S1" s="481"/>
      <c r="T1" s="481"/>
      <c r="U1" s="481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0.98272195508741189</v>
      </c>
    </row>
    <row r="2" spans="1:49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248">
        <v>47.1</v>
      </c>
      <c r="H2" s="120" t="s">
        <v>10</v>
      </c>
      <c r="I2" s="364" t="s">
        <v>1</v>
      </c>
      <c r="J2" s="482" t="s">
        <v>149</v>
      </c>
      <c r="K2" s="482"/>
      <c r="L2" s="483" t="s">
        <v>2</v>
      </c>
      <c r="M2" s="484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0.98272195508741189</v>
      </c>
    </row>
    <row r="3" spans="1:49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71.497799999999998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-12.59</v>
      </c>
      <c r="U3" s="390" t="s">
        <v>117</v>
      </c>
      <c r="V3" s="172" t="s">
        <v>33</v>
      </c>
      <c r="W3" s="173">
        <f>AO39</f>
        <v>0.14608230737499461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0.67080783427544355</v>
      </c>
    </row>
    <row r="4" spans="1:49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1.3019999999999999E-2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0.52016091932751063</v>
      </c>
    </row>
    <row r="5" spans="1:49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-137.32059991327961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0.41982134908628371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9" ht="15" customHeight="1" x14ac:dyDescent="0.25">
      <c r="A6" s="121"/>
      <c r="B6" s="122" t="s">
        <v>137</v>
      </c>
      <c r="C6" s="365">
        <v>1260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368">
        <f>C8-T3</f>
        <v>9.39</v>
      </c>
      <c r="M6" s="140" t="s">
        <v>23</v>
      </c>
      <c r="N6" s="121"/>
      <c r="O6" s="137" t="s">
        <v>141</v>
      </c>
      <c r="P6" s="7">
        <f>Uc</f>
        <v>1260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2.5118332385550626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7.6015141476665714E-4</v>
      </c>
      <c r="AH6" s="294" t="s">
        <v>372</v>
      </c>
      <c r="AI6" s="86"/>
    </row>
    <row r="7" spans="1:49" ht="15" customHeight="1" x14ac:dyDescent="0.25">
      <c r="A7" s="121"/>
      <c r="B7" s="451" t="s">
        <v>414</v>
      </c>
      <c r="C7" s="284">
        <v>0.2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366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2.3228972276806825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9" ht="15" customHeight="1" x14ac:dyDescent="0.25">
      <c r="A8" s="121"/>
      <c r="B8" s="137" t="s">
        <v>121</v>
      </c>
      <c r="C8" s="440">
        <v>-3.2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7.3900000000000006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9" ht="15" customHeight="1" x14ac:dyDescent="0.25">
      <c r="A9" s="121"/>
      <c r="B9" s="122" t="s">
        <v>120</v>
      </c>
      <c r="C9" s="16">
        <f>10*LOG10((2*AB12+AB11)/(2*AB12-AB11))</f>
        <v>3.9999080306699364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-6.4210368427695634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1.4307962446347013</v>
      </c>
      <c r="AC9" s="201" t="s">
        <v>20</v>
      </c>
      <c r="AD9" s="198"/>
      <c r="AE9" s="74"/>
      <c r="AF9" s="74" t="s">
        <v>275</v>
      </c>
      <c r="AG9" s="398">
        <f>SQRT($H$17^2+$AG$8^2)</f>
        <v>83.882178685600493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9" ht="15" customHeight="1" x14ac:dyDescent="0.25">
      <c r="A10" s="121"/>
      <c r="B10" s="129" t="s">
        <v>118</v>
      </c>
      <c r="C10" s="114">
        <f>MIN(C8+0.65,0.5)</f>
        <v>-2.5500000000000003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1.1922296337203044</v>
      </c>
      <c r="AH10" s="74"/>
      <c r="AI10" s="74"/>
      <c r="AJ10" s="137"/>
      <c r="AK10" s="111"/>
      <c r="AL10" s="7"/>
      <c r="AM10" s="99"/>
      <c r="AN10" s="99"/>
      <c r="AO10" s="15"/>
    </row>
    <row r="11" spans="1:49" ht="15" customHeight="1" x14ac:dyDescent="0.25">
      <c r="A11" s="121"/>
      <c r="B11" s="200" t="s">
        <v>119</v>
      </c>
      <c r="C11" s="201">
        <f>10*LOG10(AB7)</f>
        <v>3.6602999566398067</v>
      </c>
      <c r="D11" s="7" t="s">
        <v>20</v>
      </c>
      <c r="E11" s="7"/>
      <c r="F11" s="288" t="s">
        <v>50</v>
      </c>
      <c r="G11" s="418">
        <f>$AG$12-2.519*SQRT($AG$6)</f>
        <v>0.56458754480289541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7"/>
      <c r="U11" s="160"/>
      <c r="V11" s="464" t="s">
        <v>367</v>
      </c>
      <c r="W11" s="271">
        <f>-10*LOG10(ERF(AQ39)+ERF(AR39) - 1)</f>
        <v>2.2402768932342272</v>
      </c>
      <c r="X11" s="136" t="s">
        <v>20</v>
      </c>
      <c r="Y11" s="96"/>
      <c r="AA11" s="137" t="s">
        <v>294</v>
      </c>
      <c r="AB11" s="10">
        <f>10^(($C$8/10)+3)</f>
        <v>478.63009232263886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0.77321427645451946</v>
      </c>
      <c r="AH11" s="74"/>
      <c r="AI11" s="74"/>
      <c r="AJ11" s="127"/>
      <c r="AK11" s="398"/>
      <c r="AL11" s="7"/>
      <c r="AM11" s="99"/>
      <c r="AN11" s="99"/>
      <c r="AO11" s="15"/>
    </row>
    <row r="12" spans="1:49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555.90425727040349</v>
      </c>
      <c r="AC12" s="86" t="s">
        <v>36</v>
      </c>
      <c r="AD12" s="74"/>
      <c r="AE12" s="74"/>
      <c r="AF12" s="127" t="s">
        <v>278</v>
      </c>
      <c r="AG12" s="328">
        <f>ERF(AG10)+ERF(AG11)-1</f>
        <v>0.63403849973769222</v>
      </c>
      <c r="AH12" s="74"/>
      <c r="AI12" s="74"/>
      <c r="AJ12" s="122"/>
      <c r="AK12" s="393"/>
      <c r="AL12" s="9"/>
      <c r="AM12" s="99"/>
      <c r="AN12" s="99"/>
      <c r="AO12" s="15"/>
    </row>
    <row r="13" spans="1:49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9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9" s="378" customFormat="1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73" t="s">
        <v>66</v>
      </c>
      <c r="H15" s="70" t="s">
        <v>67</v>
      </c>
      <c r="I15" s="70" t="s">
        <v>68</v>
      </c>
      <c r="J15" s="374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376" t="s">
        <v>82</v>
      </c>
      <c r="AM15" s="188" t="s">
        <v>83</v>
      </c>
      <c r="AN15" s="377"/>
      <c r="AO15" s="336" t="s">
        <v>84</v>
      </c>
      <c r="AP15" s="347" t="s">
        <v>286</v>
      </c>
      <c r="AQ15" s="346" t="s">
        <v>364</v>
      </c>
      <c r="AR15" s="346" t="s">
        <v>365</v>
      </c>
      <c r="AS15" s="14"/>
      <c r="AT15" s="14"/>
      <c r="AU15" s="14"/>
      <c r="AV15" s="14"/>
      <c r="AW15" s="14"/>
    </row>
    <row r="16" spans="1:49" s="380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79" t="s">
        <v>93</v>
      </c>
      <c r="AM16" s="38" t="s">
        <v>98</v>
      </c>
      <c r="AN16" s="380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  <c r="AS16" s="29"/>
      <c r="AT16" s="29"/>
      <c r="AU16" s="29"/>
      <c r="AV16" s="29"/>
      <c r="AW16" s="29"/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8.3964269817256743E-4</v>
      </c>
      <c r="C17" s="44">
        <f t="shared" ref="C17:C38" si="1">$L$7+B17</f>
        <v>2.0008396426981725</v>
      </c>
      <c r="D17" s="177">
        <f t="shared" ref="D17:D38" si="2">A17*$P$9</f>
        <v>-1.2842073685539128E-2</v>
      </c>
      <c r="E17" s="44">
        <f t="shared" ref="E17:E38" si="3">A17*$AB$4</f>
        <v>2.6039999999999998E-5</v>
      </c>
      <c r="F17" s="130">
        <f t="shared" ref="F17:F38" si="4">(0.187/$C$7)*10^6/(SQRT(D17^2+E17^2))</f>
        <v>72807406.399038255</v>
      </c>
      <c r="G17" s="45">
        <f t="shared" ref="G17:G38" si="5">$P$13/A17</f>
        <v>166666666.66666666</v>
      </c>
      <c r="H17" s="46">
        <f t="shared" ref="H17:H38" si="6">SQRT((1000*C_1/F17)^2+(1000*C_1/G17)^2+$G$3^2)</f>
        <v>71.49780036195915</v>
      </c>
      <c r="I17" s="46">
        <f t="shared" ref="I17:I38" si="7">SQRT(H17^2+$T$7^2)</f>
        <v>83.221139753920809</v>
      </c>
      <c r="J17" s="424">
        <f t="shared" ref="J17:J38" si="8">-10*LOG10(2*Z17 - 1)</f>
        <v>1.6911444277070145</v>
      </c>
      <c r="K17" s="251">
        <f t="shared" ref="K17:K38" si="9">-10*LOG10(AB17)-J17</f>
        <v>0.24446274808283897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-8.865394239144333E-5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9.7436980128020184E-2</v>
      </c>
      <c r="T17" s="209">
        <f>J17+L17+B17+Q17+S17+Pmn</f>
        <v>1.7894210505332071</v>
      </c>
      <c r="U17" s="277">
        <f>J17+K17+B17+Q17+S17+Pmn+M17</f>
        <v>2.0338837986160461</v>
      </c>
      <c r="V17" s="178">
        <f t="shared" ref="V17:V38" si="15">T17-B17</f>
        <v>1.7885814078350346</v>
      </c>
      <c r="W17" s="179">
        <f t="shared" ref="W17:W38" si="16">$L$8-T17</f>
        <v>5.6005789494667937</v>
      </c>
      <c r="X17" s="455">
        <f t="shared" ref="X17:X38" si="17">$C$8-C17-(Q17+N17+R17+S17/2+Pmn) -$W$3</f>
        <v>-5.3956404401371767</v>
      </c>
      <c r="Y17" s="47">
        <f t="shared" ref="Y17:Y38" si="18">B_1*Tb_eff/(SQRT(8)*I17)</f>
        <v>0.99052787403120468</v>
      </c>
      <c r="Z17" s="49">
        <f t="shared" ref="Z17:Z38" si="19">IF(ABS(Y17)&lt;10,SIGN(Y17)*ERF(ABS(Y17)),SIGN(Y17))</f>
        <v>0.83873148148219778</v>
      </c>
      <c r="AA17" s="395">
        <f>$AD17</f>
        <v>0.67746296296439557</v>
      </c>
      <c r="AB17" s="43">
        <f t="shared" ref="AB17:AB38" si="20">ERF(AE17)+ERF(AF17)-1</f>
        <v>0.64038224513882147</v>
      </c>
      <c r="AC17" s="47">
        <f t="shared" ref="AC17:AC38" si="21">ERF(AG17)+ERF(AH17)-1</f>
        <v>0.64038224513882147</v>
      </c>
      <c r="AD17" s="47">
        <f t="shared" ref="AD17:AD38" si="22">ERF(AI17)+ERF(AJ17)-1</f>
        <v>0.67746296296439557</v>
      </c>
      <c r="AE17" s="50">
        <f t="shared" ref="AE17:AE38" si="23">MAX(MIN(B_1*Tb_eff*($L$13+1)/(SQRT(8)*$I17),10),-10)</f>
        <v>1.2016997059365913</v>
      </c>
      <c r="AF17" s="50">
        <f t="shared" ref="AF17:AF38" si="24">MAX(MIN(B_1*Tb_eff*(1-$L$13)/(SQRT(8)*$I17),10),-10)</f>
        <v>0.77935604212581799</v>
      </c>
      <c r="AG17" s="50">
        <f t="shared" ref="AG17:AG38" si="25">MAX(MIN(B_1*Tb_eff*($L$13+$G$9+1)/(SQRT(8)*$I17),10),-10)</f>
        <v>1.2016997059365913</v>
      </c>
      <c r="AH17" s="50">
        <f t="shared" ref="AH17:AH38" si="26">MAX(MIN(B_1*Tb_eff*(1-$L$13-$G$9)/(SQRT(8)*$I17),10),-10)</f>
        <v>0.77935604212581799</v>
      </c>
      <c r="AI17" s="50">
        <f t="shared" ref="AI17:AI38" si="27">MAX(MIN(B_1*Tb_eff*($G$9+1)/(SQRT(8)*$I17),10),-10)</f>
        <v>0.99052787403120468</v>
      </c>
      <c r="AJ17" s="50">
        <f t="shared" ref="AJ17:AJ38" si="28">MAX(MIN(B_1*Tb_eff*(1-$G$9)/(SQRT(8)*$I17),10),-10)</f>
        <v>0.99052787403120468</v>
      </c>
      <c r="AK17" s="305"/>
      <c r="AL17" s="48">
        <f t="shared" ref="AL17:AL38" si="29">$L$6-$L$7</f>
        <v>7.3900000000000006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3.1486601181471277</v>
      </c>
      <c r="C18" s="52">
        <f t="shared" si="1"/>
        <v>5.1486601181471272</v>
      </c>
      <c r="D18" s="180">
        <f t="shared" si="2"/>
        <v>-48.157776320771724</v>
      </c>
      <c r="E18" s="52">
        <f t="shared" si="3"/>
        <v>9.7649999999999987E-2</v>
      </c>
      <c r="F18" s="53">
        <f t="shared" si="4"/>
        <v>19415.30837307687</v>
      </c>
      <c r="G18" s="53">
        <f t="shared" si="5"/>
        <v>44444.444444444445</v>
      </c>
      <c r="H18" s="54">
        <f t="shared" si="6"/>
        <v>76.418520290190159</v>
      </c>
      <c r="I18" s="54">
        <f t="shared" si="7"/>
        <v>87.484929494657862</v>
      </c>
      <c r="J18" s="425">
        <f t="shared" si="8"/>
        <v>1.9747383776032454</v>
      </c>
      <c r="K18" s="252">
        <f t="shared" si="9"/>
        <v>0.24653612405244285</v>
      </c>
      <c r="L18" s="268">
        <f t="shared" si="10"/>
        <v>0</v>
      </c>
      <c r="M18" s="269">
        <f t="shared" si="11"/>
        <v>0</v>
      </c>
      <c r="N18" s="388">
        <f t="shared" ref="N18:N23" si="30">-10*LOG10(1-2*$L$10*10^(-$C18/10)*$AB$5*SQRT(2*ER*($AD18*(ER-1)+ER+1))/($AD18*(ER-1)))</f>
        <v>0.52709002518274284</v>
      </c>
      <c r="O18" s="52">
        <f t="shared" si="12"/>
        <v>-0.33245228396791249</v>
      </c>
      <c r="P18" s="52">
        <f t="shared" si="13"/>
        <v>0</v>
      </c>
      <c r="Q18" s="52">
        <f t="shared" si="14"/>
        <v>0</v>
      </c>
      <c r="R18" s="268">
        <f t="shared" ref="R18:R23" si="31">10*LOG10(1/SQRT(1-AK18*(Q/AA18)^2))</f>
        <v>0.23818338056709507</v>
      </c>
      <c r="S18" s="52">
        <f t="shared" ref="S18:S23" si="32">-10*LOG10(AA18*SQRT(1-Q*Q*((SD_blw^2+AK18)/AA18^2+Vmn+(P18*P18))))-$T$13-J18-L18-Q18-N18-R18-Pmn</f>
        <v>0.17840675494386851</v>
      </c>
      <c r="T18" s="282">
        <f>J18+L18+B18+Q18+N18+R18+S18+Pmn</f>
        <v>6.06707865644408</v>
      </c>
      <c r="U18" s="278">
        <f>J18+K18+B18+Q18+N18+R18+S18+Pmn+M18</f>
        <v>6.3136147804965219</v>
      </c>
      <c r="V18" s="181">
        <f t="shared" si="15"/>
        <v>2.9184185382969523</v>
      </c>
      <c r="W18" s="182">
        <f t="shared" si="16"/>
        <v>1.3229213435559206</v>
      </c>
      <c r="X18" s="456">
        <f t="shared" si="17"/>
        <v>-9.349219208743893</v>
      </c>
      <c r="Y18" s="59">
        <f t="shared" si="18"/>
        <v>0.94225210114547309</v>
      </c>
      <c r="Z18" s="60">
        <f t="shared" si="19"/>
        <v>0.81731906546387567</v>
      </c>
      <c r="AA18" s="300">
        <f t="shared" ref="AA18:AA23" si="33">$AD18*(1-2*$L$10*10^(-$C18/10)*$AB$5*SQRT(2*ER*($AD18*(ER-1)+ER+1))/($AD18*(ER-1)))</f>
        <v>0.56210462634132197</v>
      </c>
      <c r="AB18" s="56">
        <f t="shared" si="20"/>
        <v>0.59961508448144496</v>
      </c>
      <c r="AC18" s="55">
        <f t="shared" si="21"/>
        <v>0.59961508448144496</v>
      </c>
      <c r="AD18" s="55">
        <f t="shared" si="22"/>
        <v>0.63463813092775134</v>
      </c>
      <c r="AE18" s="61">
        <f t="shared" si="23"/>
        <v>1.143131962815394</v>
      </c>
      <c r="AF18" s="61">
        <f t="shared" si="24"/>
        <v>0.74137223947555231</v>
      </c>
      <c r="AG18" s="61">
        <f t="shared" si="25"/>
        <v>1.143131962815394</v>
      </c>
      <c r="AH18" s="61">
        <f t="shared" si="26"/>
        <v>0.74137223947555231</v>
      </c>
      <c r="AI18" s="61">
        <f t="shared" si="27"/>
        <v>0.94225210114547309</v>
      </c>
      <c r="AJ18" s="61">
        <f t="shared" si="28"/>
        <v>0.94225210114547309</v>
      </c>
      <c r="AK18" s="306">
        <f t="shared" ref="AK18:AK23" si="34">kRIN*10^6*$AK$7*$AK$7/(SQRT((1/F18)^2+(1/G18)^2+0.477*(1/$T$5)^2))*10^($G$4/10)</f>
        <v>6.6285068791099942E-4</v>
      </c>
      <c r="AL18" s="57">
        <f t="shared" si="29"/>
        <v>7.3900000000000006</v>
      </c>
      <c r="AM18" s="190">
        <f t="shared" ref="AM18:AM38" si="35">$L$3</f>
        <v>10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7.75</v>
      </c>
      <c r="B19" s="64">
        <f t="shared" si="0"/>
        <v>3.2536154554186987</v>
      </c>
      <c r="C19" s="64">
        <f t="shared" si="1"/>
        <v>5.2536154554186982</v>
      </c>
      <c r="D19" s="183">
        <f t="shared" si="2"/>
        <v>-49.763035531464119</v>
      </c>
      <c r="E19" s="64">
        <f t="shared" si="3"/>
        <v>0.10090499999999999</v>
      </c>
      <c r="F19" s="65">
        <f t="shared" si="4"/>
        <v>18789.008102977616</v>
      </c>
      <c r="G19" s="65">
        <f t="shared" si="5"/>
        <v>43010.752688172041</v>
      </c>
      <c r="H19" s="66">
        <f t="shared" si="6"/>
        <v>76.740619145539128</v>
      </c>
      <c r="I19" s="66">
        <f t="shared" si="7"/>
        <v>87.7664245152082</v>
      </c>
      <c r="J19" s="426">
        <f t="shared" si="8"/>
        <v>1.9940433811943823</v>
      </c>
      <c r="K19" s="253">
        <f t="shared" si="9"/>
        <v>0.24665576082464913</v>
      </c>
      <c r="L19" s="271">
        <f t="shared" si="10"/>
        <v>0</v>
      </c>
      <c r="M19" s="272">
        <f t="shared" si="11"/>
        <v>0</v>
      </c>
      <c r="N19" s="381">
        <f t="shared" si="30"/>
        <v>0.51589894588891805</v>
      </c>
      <c r="O19" s="64">
        <f t="shared" si="12"/>
        <v>-0.34353402676684291</v>
      </c>
      <c r="P19" s="64">
        <f t="shared" si="13"/>
        <v>0</v>
      </c>
      <c r="Q19" s="64">
        <f t="shared" si="14"/>
        <v>0</v>
      </c>
      <c r="R19" s="271">
        <f t="shared" si="31"/>
        <v>0.23673500915738799</v>
      </c>
      <c r="S19" s="64">
        <f t="shared" si="32"/>
        <v>0.1792261917150072</v>
      </c>
      <c r="T19" s="344">
        <f>J19+L19+B19+Q19+N19+R19+S19+Pmn</f>
        <v>6.1795189833743942</v>
      </c>
      <c r="U19" s="279">
        <f t="shared" ref="U19:U38" si="40">J19+K19+B19+Q19+N19+R19+S19+Pmn+M19</f>
        <v>6.4261747441990442</v>
      </c>
      <c r="V19" s="168">
        <f t="shared" si="15"/>
        <v>2.9259035279556955</v>
      </c>
      <c r="W19" s="184">
        <f t="shared" si="16"/>
        <v>1.2104810166256064</v>
      </c>
      <c r="X19" s="457">
        <f t="shared" si="17"/>
        <v>-9.4419448136975035</v>
      </c>
      <c r="Y19" s="72">
        <f t="shared" si="18"/>
        <v>0.93922999700894683</v>
      </c>
      <c r="Z19" s="73">
        <f t="shared" si="19"/>
        <v>0.81591166772355805</v>
      </c>
      <c r="AA19" s="301">
        <f t="shared" si="33"/>
        <v>0.56105542661942998</v>
      </c>
      <c r="AB19" s="69">
        <f t="shared" si="20"/>
        <v>0.59693918154989056</v>
      </c>
      <c r="AC19" s="68">
        <f t="shared" si="21"/>
        <v>0.59693918154989056</v>
      </c>
      <c r="AD19" s="68">
        <f t="shared" si="22"/>
        <v>0.63182333544711611</v>
      </c>
      <c r="AE19" s="23">
        <f t="shared" si="23"/>
        <v>1.1394655726537588</v>
      </c>
      <c r="AF19" s="23">
        <f t="shared" si="24"/>
        <v>0.73899442136413473</v>
      </c>
      <c r="AG19" s="23">
        <f t="shared" si="25"/>
        <v>1.1394655726537588</v>
      </c>
      <c r="AH19" s="23">
        <f t="shared" si="26"/>
        <v>0.73899442136413473</v>
      </c>
      <c r="AI19" s="23">
        <f t="shared" si="27"/>
        <v>0.93922999700894683</v>
      </c>
      <c r="AJ19" s="23">
        <f t="shared" si="28"/>
        <v>0.93922999700894683</v>
      </c>
      <c r="AK19" s="295">
        <f t="shared" si="34"/>
        <v>6.5657774344578192E-4</v>
      </c>
      <c r="AL19" s="70">
        <f t="shared" si="29"/>
        <v>7.3900000000000006</v>
      </c>
      <c r="AM19" s="191">
        <f t="shared" si="35"/>
        <v>10</v>
      </c>
      <c r="AN19" s="192">
        <f t="shared" ref="AN19:AN37" si="41">AN20</f>
        <v>10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8</v>
      </c>
      <c r="B20" s="64">
        <f t="shared" si="0"/>
        <v>3.3585707926902697</v>
      </c>
      <c r="C20" s="64">
        <f t="shared" si="1"/>
        <v>5.3585707926902693</v>
      </c>
      <c r="D20" s="183">
        <f t="shared" si="2"/>
        <v>-51.368294742156507</v>
      </c>
      <c r="E20" s="64">
        <f t="shared" si="3"/>
        <v>0.10415999999999999</v>
      </c>
      <c r="F20" s="65">
        <f t="shared" si="4"/>
        <v>18201.851599759564</v>
      </c>
      <c r="G20" s="65">
        <f t="shared" si="5"/>
        <v>41666.666666666664</v>
      </c>
      <c r="H20" s="66">
        <f t="shared" si="6"/>
        <v>77.071865590083135</v>
      </c>
      <c r="I20" s="66">
        <f t="shared" si="7"/>
        <v>88.056204272492309</v>
      </c>
      <c r="J20" s="426">
        <f t="shared" si="8"/>
        <v>2.0139912533361306</v>
      </c>
      <c r="K20" s="253">
        <f t="shared" si="9"/>
        <v>0.24677740046803054</v>
      </c>
      <c r="L20" s="271">
        <f t="shared" si="10"/>
        <v>0</v>
      </c>
      <c r="M20" s="272">
        <f t="shared" si="11"/>
        <v>0</v>
      </c>
      <c r="N20" s="381">
        <f t="shared" si="30"/>
        <v>0.50503125796347637</v>
      </c>
      <c r="O20" s="64">
        <f t="shared" si="12"/>
        <v>-0.35461576956577329</v>
      </c>
      <c r="P20" s="64">
        <f t="shared" si="13"/>
        <v>0</v>
      </c>
      <c r="Q20" s="64">
        <f t="shared" si="14"/>
        <v>0</v>
      </c>
      <c r="R20" s="271">
        <f t="shared" si="31"/>
        <v>0.23537532800595773</v>
      </c>
      <c r="S20" s="64">
        <f t="shared" si="32"/>
        <v>0.18017885788368104</v>
      </c>
      <c r="T20" s="344">
        <f t="shared" ref="T20:T38" si="42">J20+L20+B20+Q20+N20+R20+S20+Pmn</f>
        <v>6.2931474898795159</v>
      </c>
      <c r="U20" s="279">
        <f t="shared" si="40"/>
        <v>6.539924890347546</v>
      </c>
      <c r="V20" s="168">
        <f t="shared" si="15"/>
        <v>2.9345766971892462</v>
      </c>
      <c r="W20" s="184">
        <f t="shared" si="16"/>
        <v>1.0968525101204847</v>
      </c>
      <c r="X20" s="457">
        <f t="shared" si="17"/>
        <v>-9.5351491149765373</v>
      </c>
      <c r="Y20" s="72">
        <f t="shared" si="18"/>
        <v>0.93613913200044641</v>
      </c>
      <c r="Z20" s="73">
        <f t="shared" si="19"/>
        <v>0.81446395990803078</v>
      </c>
      <c r="AA20" s="301">
        <f t="shared" si="33"/>
        <v>0.559883603167597</v>
      </c>
      <c r="AB20" s="69">
        <f t="shared" si="20"/>
        <v>0.59418698470128661</v>
      </c>
      <c r="AC20" s="68">
        <f t="shared" si="21"/>
        <v>0.59418698470128661</v>
      </c>
      <c r="AD20" s="68">
        <f t="shared" si="22"/>
        <v>0.62892791981606155</v>
      </c>
      <c r="AE20" s="23">
        <f t="shared" si="23"/>
        <v>1.1357157624069372</v>
      </c>
      <c r="AF20" s="23">
        <f t="shared" si="24"/>
        <v>0.73656250159395553</v>
      </c>
      <c r="AG20" s="23">
        <f t="shared" si="25"/>
        <v>1.1357157624069372</v>
      </c>
      <c r="AH20" s="23">
        <f t="shared" si="26"/>
        <v>0.73656250159395553</v>
      </c>
      <c r="AI20" s="23">
        <f t="shared" si="27"/>
        <v>0.93613913200044641</v>
      </c>
      <c r="AJ20" s="23">
        <f t="shared" si="28"/>
        <v>0.93613913200044641</v>
      </c>
      <c r="AK20" s="295">
        <f t="shared" si="34"/>
        <v>6.5028251385631749E-4</v>
      </c>
      <c r="AL20" s="70">
        <f t="shared" si="29"/>
        <v>7.3900000000000006</v>
      </c>
      <c r="AM20" s="191">
        <f t="shared" si="35"/>
        <v>10</v>
      </c>
      <c r="AN20" s="192">
        <f t="shared" si="41"/>
        <v>10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8.25</v>
      </c>
      <c r="B21" s="64">
        <f t="shared" si="0"/>
        <v>3.4635261299618407</v>
      </c>
      <c r="C21" s="64">
        <f t="shared" si="1"/>
        <v>5.4635261299618403</v>
      </c>
      <c r="D21" s="183">
        <f t="shared" si="2"/>
        <v>-52.973553952848896</v>
      </c>
      <c r="E21" s="64">
        <f t="shared" si="3"/>
        <v>0.10741499999999998</v>
      </c>
      <c r="F21" s="65">
        <f t="shared" si="4"/>
        <v>17650.280339160792</v>
      </c>
      <c r="G21" s="65">
        <f t="shared" si="5"/>
        <v>40404.040404040403</v>
      </c>
      <c r="H21" s="66">
        <f t="shared" si="6"/>
        <v>77.412142196348412</v>
      </c>
      <c r="I21" s="66">
        <f t="shared" si="7"/>
        <v>88.354187250920475</v>
      </c>
      <c r="J21" s="426">
        <f t="shared" si="8"/>
        <v>2.0345827724012326</v>
      </c>
      <c r="K21" s="253">
        <f t="shared" si="9"/>
        <v>0.24690100502164336</v>
      </c>
      <c r="L21" s="271">
        <f t="shared" si="10"/>
        <v>0</v>
      </c>
      <c r="M21" s="272">
        <f t="shared" si="11"/>
        <v>0</v>
      </c>
      <c r="N21" s="381">
        <f t="shared" si="30"/>
        <v>0.49447607170845309</v>
      </c>
      <c r="O21" s="64">
        <f t="shared" si="12"/>
        <v>-0.36569751236470371</v>
      </c>
      <c r="P21" s="64">
        <f t="shared" si="13"/>
        <v>0</v>
      </c>
      <c r="Q21" s="64">
        <f t="shared" si="14"/>
        <v>0</v>
      </c>
      <c r="R21" s="271">
        <f t="shared" si="31"/>
        <v>0.23410427952441126</v>
      </c>
      <c r="S21" s="64">
        <f t="shared" si="32"/>
        <v>0.18126506759847794</v>
      </c>
      <c r="T21" s="344">
        <f t="shared" si="42"/>
        <v>6.4079543211944152</v>
      </c>
      <c r="U21" s="279">
        <f t="shared" si="40"/>
        <v>6.6548553262160581</v>
      </c>
      <c r="V21" s="168">
        <f t="shared" si="15"/>
        <v>2.9444281912325745</v>
      </c>
      <c r="W21" s="184">
        <f t="shared" si="16"/>
        <v>0.98204567880558535</v>
      </c>
      <c r="X21" s="457">
        <f t="shared" si="17"/>
        <v>-9.628821322368939</v>
      </c>
      <c r="Y21" s="72">
        <f t="shared" si="18"/>
        <v>0.93298191290923982</v>
      </c>
      <c r="Z21" s="73">
        <f t="shared" si="19"/>
        <v>0.81297649823278451</v>
      </c>
      <c r="AA21" s="301">
        <f t="shared" si="33"/>
        <v>0.55859123345395456</v>
      </c>
      <c r="AB21" s="69">
        <f t="shared" si="20"/>
        <v>0.59135956025818892</v>
      </c>
      <c r="AC21" s="68">
        <f t="shared" si="21"/>
        <v>0.59135956025818892</v>
      </c>
      <c r="AD21" s="68">
        <f t="shared" si="22"/>
        <v>0.62595299646556901</v>
      </c>
      <c r="AE21" s="23">
        <f t="shared" si="23"/>
        <v>1.1318854519705033</v>
      </c>
      <c r="AF21" s="23">
        <f t="shared" si="24"/>
        <v>0.73407837384797625</v>
      </c>
      <c r="AG21" s="23">
        <f t="shared" si="25"/>
        <v>1.1318854519705033</v>
      </c>
      <c r="AH21" s="23">
        <f t="shared" si="26"/>
        <v>0.73407837384797625</v>
      </c>
      <c r="AI21" s="23">
        <f t="shared" si="27"/>
        <v>0.93298191290923982</v>
      </c>
      <c r="AJ21" s="23">
        <f t="shared" si="28"/>
        <v>0.93298191290923982</v>
      </c>
      <c r="AK21" s="295">
        <f t="shared" si="34"/>
        <v>6.439735638906829E-4</v>
      </c>
      <c r="AL21" s="70">
        <f t="shared" si="29"/>
        <v>7.3900000000000006</v>
      </c>
      <c r="AM21" s="191">
        <f t="shared" si="35"/>
        <v>10</v>
      </c>
      <c r="AN21" s="192">
        <f t="shared" si="41"/>
        <v>10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8.5</v>
      </c>
      <c r="B22" s="64">
        <f t="shared" si="0"/>
        <v>3.5684814672334118</v>
      </c>
      <c r="C22" s="64">
        <f t="shared" si="1"/>
        <v>5.5684814672334113</v>
      </c>
      <c r="D22" s="183">
        <f t="shared" si="2"/>
        <v>-54.578813163541291</v>
      </c>
      <c r="E22" s="64">
        <f t="shared" si="3"/>
        <v>0.11066999999999999</v>
      </c>
      <c r="F22" s="65">
        <f t="shared" si="4"/>
        <v>17131.15444683253</v>
      </c>
      <c r="G22" s="65">
        <f t="shared" si="5"/>
        <v>39215.686274509804</v>
      </c>
      <c r="H22" s="66">
        <f t="shared" si="6"/>
        <v>77.761330418892427</v>
      </c>
      <c r="I22" s="66">
        <f t="shared" si="7"/>
        <v>88.6602907386346</v>
      </c>
      <c r="J22" s="426">
        <f t="shared" si="8"/>
        <v>2.0558187264016832</v>
      </c>
      <c r="K22" s="253">
        <f t="shared" si="9"/>
        <v>0.24702655380922955</v>
      </c>
      <c r="L22" s="271">
        <f t="shared" si="10"/>
        <v>0</v>
      </c>
      <c r="M22" s="272">
        <f t="shared" si="11"/>
        <v>0</v>
      </c>
      <c r="N22" s="381">
        <f t="shared" si="30"/>
        <v>0.48422293565437957</v>
      </c>
      <c r="O22" s="64">
        <f t="shared" si="12"/>
        <v>-0.3767792551636342</v>
      </c>
      <c r="P22" s="64">
        <f t="shared" si="13"/>
        <v>0</v>
      </c>
      <c r="Q22" s="64">
        <f t="shared" si="14"/>
        <v>0</v>
      </c>
      <c r="R22" s="271">
        <f t="shared" si="31"/>
        <v>0.2329218331599946</v>
      </c>
      <c r="S22" s="64">
        <f t="shared" si="32"/>
        <v>0.18248539821947274</v>
      </c>
      <c r="T22" s="344">
        <f t="shared" si="42"/>
        <v>6.5239303606689418</v>
      </c>
      <c r="U22" s="279">
        <f t="shared" si="40"/>
        <v>6.7709569144781714</v>
      </c>
      <c r="V22" s="168">
        <f t="shared" si="15"/>
        <v>2.9554488934355301</v>
      </c>
      <c r="W22" s="184">
        <f t="shared" si="16"/>
        <v>0.86606963933105874</v>
      </c>
      <c r="X22" s="457">
        <f t="shared" si="17"/>
        <v>-9.7229512425325151</v>
      </c>
      <c r="Y22" s="72">
        <f t="shared" si="18"/>
        <v>0.92976075250996237</v>
      </c>
      <c r="Z22" s="73">
        <f t="shared" si="19"/>
        <v>0.81144985405175651</v>
      </c>
      <c r="AA22" s="301">
        <f t="shared" si="33"/>
        <v>0.55718040385076184</v>
      </c>
      <c r="AB22" s="69">
        <f t="shared" si="20"/>
        <v>0.58845800079120059</v>
      </c>
      <c r="AC22" s="68">
        <f t="shared" si="21"/>
        <v>0.58845800079120059</v>
      </c>
      <c r="AD22" s="68">
        <f t="shared" si="22"/>
        <v>0.62289970810351303</v>
      </c>
      <c r="AE22" s="23">
        <f t="shared" si="23"/>
        <v>1.1279775685014266</v>
      </c>
      <c r="AF22" s="23">
        <f t="shared" si="24"/>
        <v>0.73154393651849814</v>
      </c>
      <c r="AG22" s="23">
        <f t="shared" si="25"/>
        <v>1.1279775685014266</v>
      </c>
      <c r="AH22" s="23">
        <f t="shared" si="26"/>
        <v>0.73154393651849814</v>
      </c>
      <c r="AI22" s="23">
        <f t="shared" si="27"/>
        <v>0.92976075250996237</v>
      </c>
      <c r="AJ22" s="23">
        <f t="shared" si="28"/>
        <v>0.92976075250996237</v>
      </c>
      <c r="AK22" s="295">
        <f t="shared" si="34"/>
        <v>6.3765893291348554E-4</v>
      </c>
      <c r="AL22" s="70">
        <f t="shared" si="29"/>
        <v>7.3900000000000006</v>
      </c>
      <c r="AM22" s="191">
        <f t="shared" si="35"/>
        <v>10</v>
      </c>
      <c r="AN22" s="192">
        <f t="shared" si="41"/>
        <v>10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8.75</v>
      </c>
      <c r="B23" s="52">
        <f t="shared" si="0"/>
        <v>3.6734368045049828</v>
      </c>
      <c r="C23" s="52">
        <f t="shared" si="1"/>
        <v>5.6734368045049823</v>
      </c>
      <c r="D23" s="180">
        <f t="shared" si="2"/>
        <v>-56.184072374233679</v>
      </c>
      <c r="E23" s="52">
        <f t="shared" si="3"/>
        <v>0.11392499999999998</v>
      </c>
      <c r="F23" s="53">
        <f t="shared" si="4"/>
        <v>16641.692891208746</v>
      </c>
      <c r="G23" s="53">
        <f t="shared" si="5"/>
        <v>38095.238095238092</v>
      </c>
      <c r="H23" s="54">
        <f t="shared" si="6"/>
        <v>78.119310754776464</v>
      </c>
      <c r="I23" s="54">
        <f t="shared" si="7"/>
        <v>88.974430923408477</v>
      </c>
      <c r="J23" s="425">
        <f t="shared" si="8"/>
        <v>2.0776999140906751</v>
      </c>
      <c r="K23" s="252">
        <f t="shared" si="9"/>
        <v>0.2471540442896436</v>
      </c>
      <c r="L23" s="268">
        <f t="shared" si="10"/>
        <v>0</v>
      </c>
      <c r="M23" s="269">
        <f t="shared" si="11"/>
        <v>0</v>
      </c>
      <c r="N23" s="388">
        <f t="shared" si="30"/>
        <v>0.47426181582914073</v>
      </c>
      <c r="O23" s="52">
        <f t="shared" si="12"/>
        <v>-0.38786099796256457</v>
      </c>
      <c r="P23" s="52">
        <f t="shared" si="13"/>
        <v>0</v>
      </c>
      <c r="Q23" s="52">
        <f t="shared" si="14"/>
        <v>0</v>
      </c>
      <c r="R23" s="268">
        <f t="shared" si="31"/>
        <v>0.2318279857260426</v>
      </c>
      <c r="S23" s="52">
        <f t="shared" si="32"/>
        <v>0.18384068790481775</v>
      </c>
      <c r="T23" s="282">
        <f t="shared" si="42"/>
        <v>6.6410672080556594</v>
      </c>
      <c r="U23" s="278">
        <f t="shared" si="40"/>
        <v>6.8882212523453026</v>
      </c>
      <c r="V23" s="181">
        <f t="shared" si="15"/>
        <v>2.9676304035506766</v>
      </c>
      <c r="W23" s="182">
        <f t="shared" si="16"/>
        <v>0.74893279194434115</v>
      </c>
      <c r="X23" s="456">
        <f t="shared" si="17"/>
        <v>-9.8175292573875694</v>
      </c>
      <c r="Y23" s="59">
        <f t="shared" si="18"/>
        <v>0.92647806543281319</v>
      </c>
      <c r="Z23" s="60">
        <f t="shared" si="19"/>
        <v>0.80988461342504703</v>
      </c>
      <c r="AA23" s="300">
        <f t="shared" si="33"/>
        <v>0.55565320923808559</v>
      </c>
      <c r="AB23" s="56">
        <f t="shared" si="20"/>
        <v>0.58548342423131494</v>
      </c>
      <c r="AC23" s="55">
        <f t="shared" si="21"/>
        <v>0.58548342423131494</v>
      </c>
      <c r="AD23" s="55">
        <f t="shared" si="22"/>
        <v>0.61976922685009406</v>
      </c>
      <c r="AE23" s="61">
        <f t="shared" si="23"/>
        <v>1.1239950414078299</v>
      </c>
      <c r="AF23" s="61">
        <f t="shared" si="24"/>
        <v>0.72896108945779647</v>
      </c>
      <c r="AG23" s="61">
        <f t="shared" si="25"/>
        <v>1.1239950414078299</v>
      </c>
      <c r="AH23" s="61">
        <f t="shared" si="26"/>
        <v>0.72896108945779647</v>
      </c>
      <c r="AI23" s="61">
        <f t="shared" si="27"/>
        <v>0.92647806543281319</v>
      </c>
      <c r="AJ23" s="61">
        <f t="shared" si="28"/>
        <v>0.92647806543281319</v>
      </c>
      <c r="AK23" s="306">
        <f t="shared" si="34"/>
        <v>6.3134614208947232E-4</v>
      </c>
      <c r="AL23" s="57">
        <f t="shared" si="29"/>
        <v>7.3900000000000006</v>
      </c>
      <c r="AM23" s="190">
        <f t="shared" si="35"/>
        <v>10</v>
      </c>
      <c r="AN23" s="193">
        <f t="shared" si="41"/>
        <v>10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9</v>
      </c>
      <c r="B24" s="64">
        <f t="shared" si="0"/>
        <v>3.7783921417765534</v>
      </c>
      <c r="C24" s="64">
        <f t="shared" si="1"/>
        <v>5.7783921417765534</v>
      </c>
      <c r="D24" s="183">
        <f t="shared" si="2"/>
        <v>-57.789331584926074</v>
      </c>
      <c r="E24" s="64">
        <f t="shared" si="3"/>
        <v>0.11717999999999999</v>
      </c>
      <c r="F24" s="65">
        <f t="shared" si="4"/>
        <v>16179.423644230723</v>
      </c>
      <c r="G24" s="65">
        <f t="shared" si="5"/>
        <v>37037.037037037036</v>
      </c>
      <c r="H24" s="66">
        <f t="shared" si="6"/>
        <v>78.48596289963686</v>
      </c>
      <c r="I24" s="66">
        <f t="shared" si="7"/>
        <v>89.296522987327037</v>
      </c>
      <c r="J24" s="426">
        <f t="shared" si="8"/>
        <v>2.1002271463715316</v>
      </c>
      <c r="K24" s="253">
        <f t="shared" si="9"/>
        <v>0.24728349284524809</v>
      </c>
      <c r="L24" s="271">
        <f t="shared" si="10"/>
        <v>0</v>
      </c>
      <c r="M24" s="272">
        <f t="shared" si="11"/>
        <v>0</v>
      </c>
      <c r="N24" s="381">
        <f>-10*LOG10(1-2*$L$10*10^(-$C24/10)*$AB$5*SQRT(2*ER*($AD24*(ER-1)+ER+1))/($AD24*(ER-1)))</f>
        <v>0.46458307621949435</v>
      </c>
      <c r="O24" s="64">
        <f t="shared" si="12"/>
        <v>-0.398942740761495</v>
      </c>
      <c r="P24" s="64">
        <f t="shared" si="13"/>
        <v>0</v>
      </c>
      <c r="Q24" s="64">
        <f t="shared" si="14"/>
        <v>0</v>
      </c>
      <c r="R24" s="271">
        <f t="shared" ref="R24:R37" si="44">10*LOG10(1/SQRT(1-AK24*(Q/AA24)^2))</f>
        <v>0.23082276253882081</v>
      </c>
      <c r="S24" s="64">
        <f t="shared" ref="S24:S37" si="45">-10*LOG10(AA24*SQRT(1-Q*Q*((SD_blw^2+AK24)/AA24^2+Vmn+(P24*P24))))-$T$13-J24-L24-Q24-N24-R24-Pmn</f>
        <v>0.18533203447135108</v>
      </c>
      <c r="T24" s="344">
        <f t="shared" si="42"/>
        <v>6.7593571613777508</v>
      </c>
      <c r="U24" s="279">
        <f t="shared" si="40"/>
        <v>7.0066406542229984</v>
      </c>
      <c r="V24" s="168">
        <f t="shared" si="15"/>
        <v>2.9809650196011974</v>
      </c>
      <c r="W24" s="184">
        <f t="shared" si="16"/>
        <v>0.63064283862224979</v>
      </c>
      <c r="X24" s="457">
        <f t="shared" si="17"/>
        <v>-9.912546305145538</v>
      </c>
      <c r="Y24" s="72">
        <f t="shared" si="18"/>
        <v>0.92313626418134809</v>
      </c>
      <c r="Z24" s="73">
        <f t="shared" si="19"/>
        <v>0.80828137665785582</v>
      </c>
      <c r="AA24" s="301">
        <f>$AD24*(1-2*$L$10*10^(-$C24/10)*$AB$5*SQRT(2*ER*($AD24*(ER-1)+ER+1))/($AD24*(ER-1)))</f>
        <v>0.55401175253948121</v>
      </c>
      <c r="AB24" s="69">
        <f t="shared" si="20"/>
        <v>0.58243697294422447</v>
      </c>
      <c r="AC24" s="68">
        <f t="shared" si="21"/>
        <v>0.58243697294422447</v>
      </c>
      <c r="AD24" s="68">
        <f t="shared" si="22"/>
        <v>0.61656275331571164</v>
      </c>
      <c r="AE24" s="23">
        <f t="shared" si="23"/>
        <v>1.1199407975178113</v>
      </c>
      <c r="AF24" s="23">
        <f t="shared" si="24"/>
        <v>0.72633173084488489</v>
      </c>
      <c r="AG24" s="23">
        <f t="shared" si="25"/>
        <v>1.1199407975178113</v>
      </c>
      <c r="AH24" s="23">
        <f t="shared" si="26"/>
        <v>0.72633173084488489</v>
      </c>
      <c r="AI24" s="23">
        <f t="shared" si="27"/>
        <v>0.92313626418134809</v>
      </c>
      <c r="AJ24" s="23">
        <f t="shared" si="28"/>
        <v>0.92313626418134809</v>
      </c>
      <c r="AK24" s="295">
        <f t="shared" ref="AK24:AK38" si="46">kRIN*10^6*$AK$7*$AK$7/(SQRT((1/F24)^2+(1/G24)^2+0.477*(1/$T$5)^2))*10^($G$4/10)</f>
        <v>6.2504220447749843E-4</v>
      </c>
      <c r="AL24" s="70">
        <f t="shared" si="29"/>
        <v>7.3900000000000006</v>
      </c>
      <c r="AM24" s="191">
        <f t="shared" si="35"/>
        <v>10</v>
      </c>
      <c r="AN24" s="192">
        <f t="shared" si="41"/>
        <v>10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9.25</v>
      </c>
      <c r="B25" s="64">
        <f t="shared" si="0"/>
        <v>3.8833474790481244</v>
      </c>
      <c r="C25" s="64">
        <f t="shared" si="1"/>
        <v>5.8833474790481244</v>
      </c>
      <c r="D25" s="183">
        <f t="shared" si="2"/>
        <v>-59.394590795618463</v>
      </c>
      <c r="E25" s="64">
        <f t="shared" si="3"/>
        <v>0.12043499999999999</v>
      </c>
      <c r="F25" s="65">
        <f t="shared" si="4"/>
        <v>15742.14192411638</v>
      </c>
      <c r="G25" s="65">
        <f t="shared" si="5"/>
        <v>36036.036036036036</v>
      </c>
      <c r="H25" s="66">
        <f t="shared" si="6"/>
        <v>78.861165899076624</v>
      </c>
      <c r="I25" s="66">
        <f t="shared" si="7"/>
        <v>89.626481200060169</v>
      </c>
      <c r="J25" s="426">
        <f t="shared" si="8"/>
        <v>2.1234012480203082</v>
      </c>
      <c r="K25" s="253">
        <f t="shared" si="9"/>
        <v>0.24741493550776017</v>
      </c>
      <c r="L25" s="271">
        <f t="shared" si="10"/>
        <v>0</v>
      </c>
      <c r="M25" s="272">
        <f t="shared" si="11"/>
        <v>0</v>
      </c>
      <c r="N25" s="381">
        <f>-10*LOG10(1-2*$L$10*10^(-$C25/10)*$AB$5*SQRT(2*ER*($AD25*(ER-1)+ER+1))/($AD25*(ER-1)))</f>
        <v>0.45517746034527079</v>
      </c>
      <c r="O25" s="64">
        <f t="shared" si="12"/>
        <v>-0.41002448356042537</v>
      </c>
      <c r="P25" s="64">
        <f t="shared" si="13"/>
        <v>0</v>
      </c>
      <c r="Q25" s="64">
        <f t="shared" si="14"/>
        <v>0</v>
      </c>
      <c r="R25" s="271">
        <f t="shared" si="44"/>
        <v>0.22990621924146776</v>
      </c>
      <c r="S25" s="64">
        <f t="shared" si="45"/>
        <v>0.18696079548811095</v>
      </c>
      <c r="T25" s="344">
        <f t="shared" si="42"/>
        <v>6.8787932021432816</v>
      </c>
      <c r="U25" s="279">
        <f t="shared" si="40"/>
        <v>7.1262081376510427</v>
      </c>
      <c r="V25" s="168">
        <f t="shared" si="15"/>
        <v>2.9954457230951572</v>
      </c>
      <c r="W25" s="184">
        <f t="shared" si="16"/>
        <v>0.51120679785671896</v>
      </c>
      <c r="X25" s="457">
        <f t="shared" si="17"/>
        <v>-10.007993863753914</v>
      </c>
      <c r="Y25" s="72">
        <f t="shared" si="18"/>
        <v>0.91973775530584612</v>
      </c>
      <c r="Z25" s="73">
        <f t="shared" si="19"/>
        <v>0.80664075781148126</v>
      </c>
      <c r="AA25" s="301">
        <f>$AD25*(1-2*$L$10*10^(-$C25/10)*$AB$5*SQRT(2*ER*($AD25*(ER-1)+ER+1))/($AD25*(ER-1)))</f>
        <v>0.55225814419156982</v>
      </c>
      <c r="AB25" s="69">
        <f t="shared" si="20"/>
        <v>0.57931981276809608</v>
      </c>
      <c r="AC25" s="68">
        <f t="shared" si="21"/>
        <v>0.57931981276809608</v>
      </c>
      <c r="AD25" s="68">
        <f t="shared" si="22"/>
        <v>0.61328151562296251</v>
      </c>
      <c r="AE25" s="23">
        <f t="shared" si="23"/>
        <v>1.1158177564370058</v>
      </c>
      <c r="AF25" s="23">
        <f t="shared" si="24"/>
        <v>0.72365775417468647</v>
      </c>
      <c r="AG25" s="23">
        <f t="shared" si="25"/>
        <v>1.1158177564370058</v>
      </c>
      <c r="AH25" s="23">
        <f t="shared" si="26"/>
        <v>0.72365775417468647</v>
      </c>
      <c r="AI25" s="23">
        <f t="shared" si="27"/>
        <v>0.91973775530584612</v>
      </c>
      <c r="AJ25" s="23">
        <f t="shared" si="28"/>
        <v>0.91973775530584612</v>
      </c>
      <c r="AK25" s="295">
        <f t="shared" si="46"/>
        <v>6.1875363758536579E-4</v>
      </c>
      <c r="AL25" s="70">
        <f t="shared" si="29"/>
        <v>7.3900000000000006</v>
      </c>
      <c r="AM25" s="191">
        <f t="shared" si="35"/>
        <v>10</v>
      </c>
      <c r="AN25" s="192">
        <f t="shared" si="41"/>
        <v>10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9.5</v>
      </c>
      <c r="B26" s="64">
        <f t="shared" si="0"/>
        <v>3.9883028163196954</v>
      </c>
      <c r="C26" s="64">
        <f t="shared" si="1"/>
        <v>5.9883028163196954</v>
      </c>
      <c r="D26" s="183">
        <f t="shared" si="2"/>
        <v>-60.999850006310851</v>
      </c>
      <c r="E26" s="64">
        <f t="shared" si="3"/>
        <v>0.12368999999999998</v>
      </c>
      <c r="F26" s="65">
        <f t="shared" si="4"/>
        <v>15327.875031376476</v>
      </c>
      <c r="G26" s="65">
        <f t="shared" si="5"/>
        <v>35087.719298245611</v>
      </c>
      <c r="H26" s="66">
        <f t="shared" si="6"/>
        <v>79.244798295136505</v>
      </c>
      <c r="I26" s="66">
        <f t="shared" si="7"/>
        <v>89.964219010559546</v>
      </c>
      <c r="J26" s="426">
        <f t="shared" si="8"/>
        <v>2.1472230597275295</v>
      </c>
      <c r="K26" s="253">
        <f t="shared" si="9"/>
        <v>0.24754842862171156</v>
      </c>
      <c r="L26" s="271">
        <f t="shared" si="10"/>
        <v>0</v>
      </c>
      <c r="M26" s="272">
        <f t="shared" si="11"/>
        <v>0</v>
      </c>
      <c r="N26" s="381">
        <f t="shared" ref="N26:N38" si="47">-10*LOG10(1-2*$L$10*10^(-$C26/10)*$AB$5*SQRT(2*ER*($AD26*(ER-1)+ER+1))/($AD26*(ER-1)))</f>
        <v>0.44603607387236244</v>
      </c>
      <c r="O26" s="64">
        <f t="shared" si="12"/>
        <v>-0.4211062263593558</v>
      </c>
      <c r="P26" s="64">
        <f t="shared" si="13"/>
        <v>0</v>
      </c>
      <c r="Q26" s="64">
        <f t="shared" si="14"/>
        <v>0</v>
      </c>
      <c r="R26" s="271">
        <f t="shared" si="44"/>
        <v>0.22907844421002754</v>
      </c>
      <c r="S26" s="64">
        <f t="shared" si="45"/>
        <v>0.18872858957371375</v>
      </c>
      <c r="T26" s="344">
        <f t="shared" si="42"/>
        <v>6.9993689837033291</v>
      </c>
      <c r="U26" s="279">
        <f t="shared" si="40"/>
        <v>7.2469174123250397</v>
      </c>
      <c r="V26" s="168">
        <f t="shared" si="15"/>
        <v>3.0110661673836336</v>
      </c>
      <c r="W26" s="184">
        <f t="shared" si="16"/>
        <v>0.39063101629667152</v>
      </c>
      <c r="X26" s="457">
        <f t="shared" si="17"/>
        <v>-10.103863936563936</v>
      </c>
      <c r="Y26" s="72">
        <f t="shared" si="18"/>
        <v>0.91628493573905634</v>
      </c>
      <c r="Z26" s="73">
        <f t="shared" si="19"/>
        <v>0.80496338418740077</v>
      </c>
      <c r="AA26" s="301">
        <f t="shared" ref="AA26:AA38" si="48">$AD26*(1-2*$L$10*10^(-$C26/10)*$AB$5*SQRT(2*ER*($AD26*(ER-1)+ER+1))/($AD26*(ER-1)))</f>
        <v>0.55039450154975267</v>
      </c>
      <c r="AB26" s="69">
        <f t="shared" si="20"/>
        <v>0.57613313201651284</v>
      </c>
      <c r="AC26" s="68">
        <f t="shared" si="21"/>
        <v>0.57613313201651284</v>
      </c>
      <c r="AD26" s="68">
        <f t="shared" si="22"/>
        <v>0.60992676837480153</v>
      </c>
      <c r="AE26" s="23">
        <f t="shared" si="23"/>
        <v>1.1116288261031455</v>
      </c>
      <c r="AF26" s="23">
        <f t="shared" si="24"/>
        <v>0.72094104537496717</v>
      </c>
      <c r="AG26" s="23">
        <f t="shared" si="25"/>
        <v>1.1116288261031455</v>
      </c>
      <c r="AH26" s="23">
        <f t="shared" si="26"/>
        <v>0.72094104537496717</v>
      </c>
      <c r="AI26" s="23">
        <f t="shared" si="27"/>
        <v>0.91628493573905634</v>
      </c>
      <c r="AJ26" s="23">
        <f t="shared" si="28"/>
        <v>0.91628493573905634</v>
      </c>
      <c r="AK26" s="295">
        <f t="shared" si="46"/>
        <v>6.1248647796537949E-4</v>
      </c>
      <c r="AL26" s="70">
        <f t="shared" si="29"/>
        <v>7.3900000000000006</v>
      </c>
      <c r="AM26" s="191">
        <f t="shared" si="35"/>
        <v>10</v>
      </c>
      <c r="AN26" s="192">
        <f t="shared" si="41"/>
        <v>10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9.75</v>
      </c>
      <c r="B27" s="64">
        <f t="shared" si="0"/>
        <v>4.0932581535912664</v>
      </c>
      <c r="C27" s="64">
        <f t="shared" si="1"/>
        <v>6.0932581535912664</v>
      </c>
      <c r="D27" s="183">
        <f t="shared" si="2"/>
        <v>-62.605109217003246</v>
      </c>
      <c r="E27" s="64">
        <f t="shared" si="3"/>
        <v>0.12694499999999997</v>
      </c>
      <c r="F27" s="65">
        <f t="shared" si="4"/>
        <v>14934.852594674514</v>
      </c>
      <c r="G27" s="65">
        <f t="shared" si="5"/>
        <v>34188.034188034188</v>
      </c>
      <c r="H27" s="66">
        <f t="shared" si="6"/>
        <v>79.636738267640808</v>
      </c>
      <c r="I27" s="66">
        <f t="shared" si="7"/>
        <v>90.309649137020671</v>
      </c>
      <c r="J27" s="426">
        <f t="shared" si="8"/>
        <v>2.1716934404634145</v>
      </c>
      <c r="K27" s="253">
        <f t="shared" si="9"/>
        <v>0.24768404944605393</v>
      </c>
      <c r="L27" s="271">
        <f t="shared" si="10"/>
        <v>0</v>
      </c>
      <c r="M27" s="272">
        <f t="shared" si="11"/>
        <v>0</v>
      </c>
      <c r="N27" s="381">
        <f t="shared" si="47"/>
        <v>0.43715036819619113</v>
      </c>
      <c r="O27" s="64">
        <f t="shared" si="12"/>
        <v>-0.43218796915828622</v>
      </c>
      <c r="P27" s="64">
        <f t="shared" si="13"/>
        <v>0</v>
      </c>
      <c r="Q27" s="64">
        <f t="shared" si="14"/>
        <v>0</v>
      </c>
      <c r="R27" s="271">
        <f t="shared" si="44"/>
        <v>0.22833956145022949</v>
      </c>
      <c r="S27" s="64">
        <f t="shared" si="45"/>
        <v>0.19063729887977721</v>
      </c>
      <c r="T27" s="344">
        <f t="shared" si="42"/>
        <v>7.1210788225808788</v>
      </c>
      <c r="U27" s="279">
        <f t="shared" si="40"/>
        <v>7.3687628720269327</v>
      </c>
      <c r="V27" s="168">
        <f t="shared" si="15"/>
        <v>3.0278206689896123</v>
      </c>
      <c r="W27" s="184">
        <f t="shared" si="16"/>
        <v>0.2689211774191218</v>
      </c>
      <c r="X27" s="457">
        <f t="shared" si="17"/>
        <v>-10.200149040052571</v>
      </c>
      <c r="Y27" s="72">
        <f t="shared" si="18"/>
        <v>0.91278018929998495</v>
      </c>
      <c r="Z27" s="73">
        <f t="shared" si="19"/>
        <v>0.80324989578561756</v>
      </c>
      <c r="AA27" s="301">
        <f t="shared" si="48"/>
        <v>0.5484229482326326</v>
      </c>
      <c r="AB27" s="69">
        <f t="shared" si="20"/>
        <v>0.57287814044849528</v>
      </c>
      <c r="AC27" s="68">
        <f t="shared" si="21"/>
        <v>0.57287814044849528</v>
      </c>
      <c r="AD27" s="68">
        <f t="shared" si="22"/>
        <v>0.60649979157123513</v>
      </c>
      <c r="AE27" s="23">
        <f t="shared" si="23"/>
        <v>1.1073768985444852</v>
      </c>
      <c r="AF27" s="23">
        <f t="shared" si="24"/>
        <v>0.7181834800554846</v>
      </c>
      <c r="AG27" s="23">
        <f t="shared" si="25"/>
        <v>1.1073768985444852</v>
      </c>
      <c r="AH27" s="23">
        <f t="shared" si="26"/>
        <v>0.7181834800554846</v>
      </c>
      <c r="AI27" s="23">
        <f t="shared" si="27"/>
        <v>0.91278018929998495</v>
      </c>
      <c r="AJ27" s="23">
        <f t="shared" si="28"/>
        <v>0.91278018929998495</v>
      </c>
      <c r="AK27" s="295">
        <f t="shared" si="46"/>
        <v>6.0624629746237576E-4</v>
      </c>
      <c r="AL27" s="70">
        <f t="shared" si="29"/>
        <v>7.3900000000000006</v>
      </c>
      <c r="AM27" s="191">
        <f t="shared" si="35"/>
        <v>10</v>
      </c>
      <c r="AN27" s="192">
        <f t="shared" si="41"/>
        <v>10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10</v>
      </c>
      <c r="B28" s="52">
        <f t="shared" si="0"/>
        <v>4.1982134908628375</v>
      </c>
      <c r="C28" s="52">
        <f t="shared" si="1"/>
        <v>6.1982134908628375</v>
      </c>
      <c r="D28" s="180">
        <f t="shared" si="2"/>
        <v>-64.210368427695641</v>
      </c>
      <c r="E28" s="52">
        <f t="shared" si="3"/>
        <v>0.13019999999999998</v>
      </c>
      <c r="F28" s="53">
        <f t="shared" si="4"/>
        <v>14561.481279807653</v>
      </c>
      <c r="G28" s="53">
        <f t="shared" si="5"/>
        <v>33333.333333333328</v>
      </c>
      <c r="H28" s="54">
        <f t="shared" si="6"/>
        <v>80.03686377024809</v>
      </c>
      <c r="I28" s="54">
        <f t="shared" si="7"/>
        <v>90.662683654965264</v>
      </c>
      <c r="J28" s="425">
        <f t="shared" si="8"/>
        <v>2.1968132701697702</v>
      </c>
      <c r="K28" s="252">
        <f t="shared" si="9"/>
        <v>0.24782189669517596</v>
      </c>
      <c r="L28" s="268">
        <f t="shared" si="10"/>
        <v>0</v>
      </c>
      <c r="M28" s="269">
        <f t="shared" si="11"/>
        <v>0</v>
      </c>
      <c r="N28" s="388">
        <f t="shared" si="47"/>
        <v>0.42851212493242613</v>
      </c>
      <c r="O28" s="52">
        <f t="shared" si="12"/>
        <v>-0.44326971195721665</v>
      </c>
      <c r="P28" s="52">
        <f t="shared" si="13"/>
        <v>0</v>
      </c>
      <c r="Q28" s="52">
        <f t="shared" si="14"/>
        <v>0</v>
      </c>
      <c r="R28" s="268">
        <f t="shared" si="44"/>
        <v>0.2276897339064724</v>
      </c>
      <c r="S28" s="52">
        <f t="shared" si="45"/>
        <v>0.19268907275350061</v>
      </c>
      <c r="T28" s="282">
        <f t="shared" si="42"/>
        <v>7.243917692625006</v>
      </c>
      <c r="U28" s="278">
        <f t="shared" si="40"/>
        <v>7.4917395893201828</v>
      </c>
      <c r="V28" s="181">
        <f t="shared" si="15"/>
        <v>3.0457042017621685</v>
      </c>
      <c r="W28" s="182">
        <f t="shared" si="16"/>
        <v>0.14608230737499461</v>
      </c>
      <c r="X28" s="456">
        <f t="shared" si="17"/>
        <v>-10.296842193453481</v>
      </c>
      <c r="Y28" s="59">
        <f t="shared" si="18"/>
        <v>0.90922588337026811</v>
      </c>
      <c r="Z28" s="60">
        <f t="shared" si="19"/>
        <v>0.80150094473861799</v>
      </c>
      <c r="AA28" s="300">
        <f t="shared" si="48"/>
        <v>0.54634561340803323</v>
      </c>
      <c r="AB28" s="56">
        <f t="shared" si="20"/>
        <v>0.56955606820768212</v>
      </c>
      <c r="AC28" s="55">
        <f t="shared" si="21"/>
        <v>0.56955606820768212</v>
      </c>
      <c r="AD28" s="55">
        <f t="shared" si="22"/>
        <v>0.60300188947723599</v>
      </c>
      <c r="AE28" s="61">
        <f t="shared" si="23"/>
        <v>1.1030648458476069</v>
      </c>
      <c r="AF28" s="61">
        <f t="shared" si="24"/>
        <v>0.71538692089292921</v>
      </c>
      <c r="AG28" s="61">
        <f t="shared" si="25"/>
        <v>1.1030648458476069</v>
      </c>
      <c r="AH28" s="61">
        <f t="shared" si="26"/>
        <v>0.71538692089292921</v>
      </c>
      <c r="AI28" s="61">
        <f t="shared" si="27"/>
        <v>0.90922588337026811</v>
      </c>
      <c r="AJ28" s="61">
        <f t="shared" si="28"/>
        <v>0.90922588337026811</v>
      </c>
      <c r="AK28" s="306">
        <f t="shared" si="46"/>
        <v>6.0003822075932857E-4</v>
      </c>
      <c r="AL28" s="57">
        <f t="shared" si="29"/>
        <v>7.3900000000000006</v>
      </c>
      <c r="AM28" s="190">
        <f t="shared" si="35"/>
        <v>10</v>
      </c>
      <c r="AN28" s="193">
        <f t="shared" si="41"/>
        <v>10</v>
      </c>
      <c r="AO28" s="58">
        <f t="shared" si="36"/>
        <v>0.14608230737499461</v>
      </c>
      <c r="AP28" s="350">
        <f t="shared" ref="AP28:AP38" si="49">IF($A28=$L$3,I28,0)</f>
        <v>90.662683654965264</v>
      </c>
      <c r="AQ28" s="351">
        <f>IF($A28=$L$3,B_1*Tb_eff*(1+$G$9)/(SQRT(8)*SQRT($H28^2+$AG$8^2)),0)</f>
        <v>0.90317740325007578</v>
      </c>
      <c r="AR28" s="351">
        <f>IF($A28=$L$3,B_1*Tb_eff*(1-$G$9)/(SQRT(8)*SQRT($H28^2+$AG$8^2)),0)</f>
        <v>0.90317740325007578</v>
      </c>
    </row>
    <row r="29" spans="1:44" s="74" customFormat="1" ht="15" customHeight="1" x14ac:dyDescent="0.2">
      <c r="A29" s="63">
        <f t="shared" si="39"/>
        <v>10.25</v>
      </c>
      <c r="B29" s="64">
        <f t="shared" si="0"/>
        <v>4.3031688281344085</v>
      </c>
      <c r="C29" s="64">
        <f t="shared" si="1"/>
        <v>6.3031688281344085</v>
      </c>
      <c r="D29" s="183">
        <f t="shared" si="2"/>
        <v>-65.815627638388023</v>
      </c>
      <c r="E29" s="64">
        <f t="shared" si="3"/>
        <v>0.13345499999999999</v>
      </c>
      <c r="F29" s="65">
        <f t="shared" si="4"/>
        <v>14206.323199812345</v>
      </c>
      <c r="G29" s="65">
        <f t="shared" si="5"/>
        <v>32520.325203252032</v>
      </c>
      <c r="H29" s="66">
        <f t="shared" si="6"/>
        <v>80.445052661070775</v>
      </c>
      <c r="I29" s="66">
        <f t="shared" si="7"/>
        <v>91.023234083312502</v>
      </c>
      <c r="J29" s="426">
        <f t="shared" si="8"/>
        <v>2.2225834527807731</v>
      </c>
      <c r="K29" s="253">
        <f t="shared" si="9"/>
        <v>0.24796209102093236</v>
      </c>
      <c r="L29" s="271">
        <f t="shared" si="10"/>
        <v>0</v>
      </c>
      <c r="M29" s="272">
        <f t="shared" si="11"/>
        <v>0</v>
      </c>
      <c r="N29" s="381">
        <f t="shared" si="47"/>
        <v>0.42011344125643413</v>
      </c>
      <c r="O29" s="64">
        <f t="shared" si="12"/>
        <v>-0.45435145475614702</v>
      </c>
      <c r="P29" s="64">
        <f t="shared" si="13"/>
        <v>0</v>
      </c>
      <c r="Q29" s="64">
        <f t="shared" si="14"/>
        <v>0</v>
      </c>
      <c r="R29" s="271">
        <f t="shared" si="44"/>
        <v>0.2271291671165532</v>
      </c>
      <c r="S29" s="64">
        <f t="shared" si="45"/>
        <v>0.19488633258302865</v>
      </c>
      <c r="T29" s="344">
        <f t="shared" si="42"/>
        <v>7.3678812218711975</v>
      </c>
      <c r="U29" s="279">
        <f t="shared" si="40"/>
        <v>7.6158433128921299</v>
      </c>
      <c r="V29" s="168">
        <f t="shared" si="15"/>
        <v>3.0647123937367891</v>
      </c>
      <c r="W29" s="184">
        <f t="shared" si="16"/>
        <v>2.2118778128803029E-2</v>
      </c>
      <c r="X29" s="457">
        <f t="shared" si="17"/>
        <v>-10.393936910173906</v>
      </c>
      <c r="Y29" s="72">
        <f t="shared" si="18"/>
        <v>0.90562436574660843</v>
      </c>
      <c r="Z29" s="73">
        <f t="shared" si="19"/>
        <v>0.79971719472242286</v>
      </c>
      <c r="AA29" s="301">
        <f t="shared" si="48"/>
        <v>0.54416463102377577</v>
      </c>
      <c r="AB29" s="69">
        <f t="shared" si="20"/>
        <v>0.56616816473293285</v>
      </c>
      <c r="AC29" s="68">
        <f t="shared" si="21"/>
        <v>0.56616816473293285</v>
      </c>
      <c r="AD29" s="68">
        <f t="shared" si="22"/>
        <v>0.59943438944484573</v>
      </c>
      <c r="AE29" s="23">
        <f t="shared" si="23"/>
        <v>1.0986955163388232</v>
      </c>
      <c r="AF29" s="23">
        <f t="shared" si="24"/>
        <v>0.71255321515439352</v>
      </c>
      <c r="AG29" s="23">
        <f t="shared" si="25"/>
        <v>1.0986955163388232</v>
      </c>
      <c r="AH29" s="23">
        <f t="shared" si="26"/>
        <v>0.71255321515439352</v>
      </c>
      <c r="AI29" s="23">
        <f t="shared" si="27"/>
        <v>0.90562436574660843</v>
      </c>
      <c r="AJ29" s="23">
        <f t="shared" si="28"/>
        <v>0.90562436574660843</v>
      </c>
      <c r="AK29" s="295">
        <f t="shared" si="46"/>
        <v>5.938669438995093E-4</v>
      </c>
      <c r="AL29" s="70">
        <f t="shared" si="29"/>
        <v>7.3900000000000006</v>
      </c>
      <c r="AM29" s="191">
        <f t="shared" si="35"/>
        <v>10</v>
      </c>
      <c r="AN29" s="192">
        <f t="shared" si="41"/>
        <v>10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10.5</v>
      </c>
      <c r="B30" s="64">
        <f t="shared" si="0"/>
        <v>4.4081241654059795</v>
      </c>
      <c r="C30" s="64">
        <f t="shared" si="1"/>
        <v>6.4081241654059795</v>
      </c>
      <c r="D30" s="183">
        <f t="shared" si="2"/>
        <v>-67.420886849080418</v>
      </c>
      <c r="E30" s="64">
        <f t="shared" si="3"/>
        <v>0.13671</v>
      </c>
      <c r="F30" s="65">
        <f t="shared" si="4"/>
        <v>13868.077409340622</v>
      </c>
      <c r="G30" s="65">
        <f t="shared" si="5"/>
        <v>31746.031746031746</v>
      </c>
      <c r="H30" s="66">
        <f t="shared" si="6"/>
        <v>80.861182827759322</v>
      </c>
      <c r="I30" s="66">
        <f t="shared" si="7"/>
        <v>91.391211468321018</v>
      </c>
      <c r="J30" s="426">
        <f t="shared" si="8"/>
        <v>2.2490049195738844</v>
      </c>
      <c r="K30" s="253">
        <f t="shared" si="9"/>
        <v>0.24810477543780474</v>
      </c>
      <c r="L30" s="271">
        <f t="shared" si="10"/>
        <v>0</v>
      </c>
      <c r="M30" s="272">
        <f t="shared" si="11"/>
        <v>0</v>
      </c>
      <c r="N30" s="381">
        <f t="shared" si="47"/>
        <v>0.41194671603723171</v>
      </c>
      <c r="O30" s="64">
        <f t="shared" si="12"/>
        <v>-0.46543319755507745</v>
      </c>
      <c r="P30" s="64">
        <f t="shared" si="13"/>
        <v>0</v>
      </c>
      <c r="Q30" s="64">
        <f t="shared" si="14"/>
        <v>0</v>
      </c>
      <c r="R30" s="271">
        <f t="shared" si="44"/>
        <v>0.22665811315677517</v>
      </c>
      <c r="S30" s="64">
        <f t="shared" si="45"/>
        <v>0.1972317778396214</v>
      </c>
      <c r="T30" s="344">
        <f t="shared" si="42"/>
        <v>7.4929656920134926</v>
      </c>
      <c r="U30" s="279">
        <f t="shared" si="40"/>
        <v>7.7410704674512969</v>
      </c>
      <c r="V30" s="168">
        <f t="shared" si="15"/>
        <v>3.0848415266075131</v>
      </c>
      <c r="W30" s="184">
        <f t="shared" si="16"/>
        <v>-0.10296569201349204</v>
      </c>
      <c r="X30" s="457">
        <f t="shared" si="17"/>
        <v>-10.491427190894791</v>
      </c>
      <c r="Y30" s="72">
        <f t="shared" si="18"/>
        <v>0.90197796167171607</v>
      </c>
      <c r="Z30" s="73">
        <f t="shared" si="19"/>
        <v>0.7978993203463477</v>
      </c>
      <c r="AA30" s="301">
        <f t="shared" si="48"/>
        <v>0.54188213898663895</v>
      </c>
      <c r="AB30" s="69">
        <f t="shared" si="20"/>
        <v>0.56271569764276408</v>
      </c>
      <c r="AC30" s="68">
        <f t="shared" si="21"/>
        <v>0.56271569764276408</v>
      </c>
      <c r="AD30" s="68">
        <f t="shared" si="22"/>
        <v>0.59579864069269539</v>
      </c>
      <c r="AE30" s="23">
        <f t="shared" si="23"/>
        <v>1.0942717309821417</v>
      </c>
      <c r="AF30" s="23">
        <f t="shared" si="24"/>
        <v>0.70968419236129032</v>
      </c>
      <c r="AG30" s="23">
        <f t="shared" si="25"/>
        <v>1.0942717309821417</v>
      </c>
      <c r="AH30" s="23">
        <f t="shared" si="26"/>
        <v>0.70968419236129032</v>
      </c>
      <c r="AI30" s="23">
        <f t="shared" si="27"/>
        <v>0.90197796167171607</v>
      </c>
      <c r="AJ30" s="23">
        <f t="shared" si="28"/>
        <v>0.90197796167171607</v>
      </c>
      <c r="AK30" s="295">
        <f t="shared" si="46"/>
        <v>5.8773675349778191E-4</v>
      </c>
      <c r="AL30" s="70">
        <f t="shared" si="29"/>
        <v>7.3900000000000006</v>
      </c>
      <c r="AM30" s="191">
        <f t="shared" si="35"/>
        <v>10</v>
      </c>
      <c r="AN30" s="192">
        <f t="shared" si="41"/>
        <v>10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10.75</v>
      </c>
      <c r="B31" s="64">
        <f t="shared" si="0"/>
        <v>4.5130795026775505</v>
      </c>
      <c r="C31" s="64">
        <f t="shared" si="1"/>
        <v>6.5130795026775505</v>
      </c>
      <c r="D31" s="183">
        <f t="shared" si="2"/>
        <v>-69.026146059772813</v>
      </c>
      <c r="E31" s="64">
        <f t="shared" si="3"/>
        <v>0.13996499999999998</v>
      </c>
      <c r="F31" s="65">
        <f t="shared" si="4"/>
        <v>13545.563981216421</v>
      </c>
      <c r="G31" s="65">
        <f t="shared" si="5"/>
        <v>31007.751937984493</v>
      </c>
      <c r="H31" s="66">
        <f t="shared" si="6"/>
        <v>81.285132306977644</v>
      </c>
      <c r="I31" s="66">
        <f t="shared" si="7"/>
        <v>91.766526465296238</v>
      </c>
      <c r="J31" s="426">
        <f t="shared" si="8"/>
        <v>2.2760786328513309</v>
      </c>
      <c r="K31" s="253">
        <f t="shared" si="9"/>
        <v>0.24825011569381195</v>
      </c>
      <c r="L31" s="271">
        <f t="shared" si="10"/>
        <v>0</v>
      </c>
      <c r="M31" s="272">
        <f t="shared" si="11"/>
        <v>0</v>
      </c>
      <c r="N31" s="381">
        <f t="shared" si="47"/>
        <v>0.40400463671568027</v>
      </c>
      <c r="O31" s="64">
        <f t="shared" si="12"/>
        <v>-0.47651494035400788</v>
      </c>
      <c r="P31" s="64">
        <f t="shared" si="13"/>
        <v>0</v>
      </c>
      <c r="Q31" s="64">
        <f t="shared" si="14"/>
        <v>0</v>
      </c>
      <c r="R31" s="271">
        <f t="shared" si="44"/>
        <v>0.22627687483238712</v>
      </c>
      <c r="S31" s="64">
        <f t="shared" si="45"/>
        <v>0.19972839334097364</v>
      </c>
      <c r="T31" s="344">
        <f t="shared" si="42"/>
        <v>7.6191680404179225</v>
      </c>
      <c r="U31" s="279">
        <f t="shared" si="40"/>
        <v>7.8674181561117349</v>
      </c>
      <c r="V31" s="168">
        <f t="shared" si="15"/>
        <v>3.106088537740372</v>
      </c>
      <c r="W31" s="184">
        <f t="shared" si="16"/>
        <v>-0.22916804041792194</v>
      </c>
      <c r="X31" s="457">
        <f t="shared" si="17"/>
        <v>-10.589307518271101</v>
      </c>
      <c r="Y31" s="72">
        <f t="shared" si="18"/>
        <v>0.89828897104522043</v>
      </c>
      <c r="Z31" s="73">
        <f t="shared" si="19"/>
        <v>0.79604800652319785</v>
      </c>
      <c r="AA31" s="301">
        <f t="shared" si="48"/>
        <v>0.53950027829314784</v>
      </c>
      <c r="AB31" s="69">
        <f t="shared" si="20"/>
        <v>0.55919995159615365</v>
      </c>
      <c r="AC31" s="68">
        <f t="shared" si="21"/>
        <v>0.55919995159615365</v>
      </c>
      <c r="AD31" s="68">
        <f t="shared" si="22"/>
        <v>0.5920960130463957</v>
      </c>
      <c r="AE31" s="23">
        <f t="shared" si="23"/>
        <v>1.0897962799955672</v>
      </c>
      <c r="AF31" s="23">
        <f t="shared" si="24"/>
        <v>0.7067816620948737</v>
      </c>
      <c r="AG31" s="23">
        <f t="shared" si="25"/>
        <v>1.0897962799955672</v>
      </c>
      <c r="AH31" s="23">
        <f t="shared" si="26"/>
        <v>0.7067816620948737</v>
      </c>
      <c r="AI31" s="23">
        <f t="shared" si="27"/>
        <v>0.89828897104522043</v>
      </c>
      <c r="AJ31" s="23">
        <f t="shared" si="28"/>
        <v>0.89828897104522043</v>
      </c>
      <c r="AK31" s="295">
        <f t="shared" si="46"/>
        <v>5.8165154638634641E-4</v>
      </c>
      <c r="AL31" s="70">
        <f t="shared" si="29"/>
        <v>7.3900000000000006</v>
      </c>
      <c r="AM31" s="191">
        <f t="shared" si="35"/>
        <v>10</v>
      </c>
      <c r="AN31" s="192">
        <f t="shared" si="41"/>
        <v>10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11</v>
      </c>
      <c r="B32" s="64">
        <f t="shared" si="0"/>
        <v>4.6180348399491216</v>
      </c>
      <c r="C32" s="64">
        <f t="shared" si="1"/>
        <v>6.6180348399491216</v>
      </c>
      <c r="D32" s="183">
        <f t="shared" si="2"/>
        <v>-70.631405270465194</v>
      </c>
      <c r="E32" s="64">
        <f t="shared" si="3"/>
        <v>0.14321999999999999</v>
      </c>
      <c r="F32" s="65">
        <f t="shared" si="4"/>
        <v>13237.710254370595</v>
      </c>
      <c r="G32" s="65">
        <f t="shared" si="5"/>
        <v>30303.0303030303</v>
      </c>
      <c r="H32" s="66">
        <f t="shared" si="6"/>
        <v>81.716779398224418</v>
      </c>
      <c r="I32" s="66">
        <f t="shared" si="7"/>
        <v>92.149089417970529</v>
      </c>
      <c r="J32" s="426">
        <f t="shared" si="8"/>
        <v>2.3038055899517662</v>
      </c>
      <c r="K32" s="253">
        <f t="shared" si="9"/>
        <v>0.24839830059010248</v>
      </c>
      <c r="L32" s="271">
        <f t="shared" si="10"/>
        <v>0</v>
      </c>
      <c r="M32" s="272">
        <f t="shared" si="11"/>
        <v>0</v>
      </c>
      <c r="N32" s="381">
        <f t="shared" si="47"/>
        <v>0.39628016688030776</v>
      </c>
      <c r="O32" s="64">
        <f t="shared" si="12"/>
        <v>-0.48759668315293825</v>
      </c>
      <c r="P32" s="64">
        <f t="shared" si="13"/>
        <v>0</v>
      </c>
      <c r="Q32" s="64">
        <f t="shared" si="14"/>
        <v>0</v>
      </c>
      <c r="R32" s="271">
        <f t="shared" si="44"/>
        <v>0.22598581007767427</v>
      </c>
      <c r="S32" s="64">
        <f t="shared" si="45"/>
        <v>0.20237945777043509</v>
      </c>
      <c r="T32" s="344">
        <f t="shared" si="42"/>
        <v>7.7464858646293049</v>
      </c>
      <c r="U32" s="279">
        <f t="shared" si="40"/>
        <v>7.9948841652194069</v>
      </c>
      <c r="V32" s="168">
        <f t="shared" si="15"/>
        <v>3.1284510246801833</v>
      </c>
      <c r="W32" s="184">
        <f t="shared" si="16"/>
        <v>-0.35648586462930432</v>
      </c>
      <c r="X32" s="457">
        <f t="shared" si="17"/>
        <v>-10.687572853167316</v>
      </c>
      <c r="Y32" s="72">
        <f t="shared" si="18"/>
        <v>0.89455966581509416</v>
      </c>
      <c r="Z32" s="73">
        <f t="shared" si="19"/>
        <v>0.79416394782172872</v>
      </c>
      <c r="AA32" s="301">
        <f t="shared" si="48"/>
        <v>0.53702119211604193</v>
      </c>
      <c r="AB32" s="69">
        <f t="shared" si="20"/>
        <v>0.55562222713238452</v>
      </c>
      <c r="AC32" s="68">
        <f t="shared" si="21"/>
        <v>0.55562222713238452</v>
      </c>
      <c r="AD32" s="68">
        <f t="shared" si="22"/>
        <v>0.58832789564345744</v>
      </c>
      <c r="AE32" s="23">
        <f t="shared" si="23"/>
        <v>1.0852719196864</v>
      </c>
      <c r="AF32" s="23">
        <f t="shared" si="24"/>
        <v>0.70384741194378841</v>
      </c>
      <c r="AG32" s="23">
        <f t="shared" si="25"/>
        <v>1.0852719196864</v>
      </c>
      <c r="AH32" s="23">
        <f t="shared" si="26"/>
        <v>0.70384741194378841</v>
      </c>
      <c r="AI32" s="23">
        <f t="shared" si="27"/>
        <v>0.89455966581509416</v>
      </c>
      <c r="AJ32" s="23">
        <f t="shared" si="28"/>
        <v>0.89455966581509416</v>
      </c>
      <c r="AK32" s="295">
        <f t="shared" si="46"/>
        <v>5.7561484947162077E-4</v>
      </c>
      <c r="AL32" s="70">
        <f t="shared" si="29"/>
        <v>7.3900000000000006</v>
      </c>
      <c r="AM32" s="191">
        <f t="shared" si="35"/>
        <v>10</v>
      </c>
      <c r="AN32" s="192">
        <f t="shared" si="41"/>
        <v>10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11.25</v>
      </c>
      <c r="B33" s="52">
        <f t="shared" si="0"/>
        <v>4.7229901772206917</v>
      </c>
      <c r="C33" s="52">
        <f t="shared" si="1"/>
        <v>6.7229901772206917</v>
      </c>
      <c r="D33" s="180">
        <f t="shared" si="2"/>
        <v>-72.23666448115759</v>
      </c>
      <c r="E33" s="52">
        <f t="shared" si="3"/>
        <v>0.14647499999999999</v>
      </c>
      <c r="F33" s="53">
        <f t="shared" si="4"/>
        <v>12943.538915384577</v>
      </c>
      <c r="G33" s="53">
        <f t="shared" si="5"/>
        <v>29629.629629629628</v>
      </c>
      <c r="H33" s="54">
        <f t="shared" si="6"/>
        <v>82.156002771982287</v>
      </c>
      <c r="I33" s="54">
        <f t="shared" si="7"/>
        <v>92.538810435476279</v>
      </c>
      <c r="J33" s="425">
        <f t="shared" si="8"/>
        <v>2.3321868275911855</v>
      </c>
      <c r="K33" s="252">
        <f t="shared" si="9"/>
        <v>0.24854954225258163</v>
      </c>
      <c r="L33" s="268">
        <f t="shared" si="10"/>
        <v>0</v>
      </c>
      <c r="M33" s="269">
        <f t="shared" si="11"/>
        <v>0</v>
      </c>
      <c r="N33" s="388">
        <f t="shared" si="47"/>
        <v>0.3887665344975012</v>
      </c>
      <c r="O33" s="52">
        <f t="shared" si="12"/>
        <v>-0.49867842595186868</v>
      </c>
      <c r="P33" s="52">
        <f t="shared" si="13"/>
        <v>0</v>
      </c>
      <c r="Q33" s="52">
        <f t="shared" si="14"/>
        <v>0</v>
      </c>
      <c r="R33" s="268">
        <f t="shared" si="44"/>
        <v>0.22578533653861999</v>
      </c>
      <c r="S33" s="52">
        <f t="shared" si="45"/>
        <v>0.20518855349760645</v>
      </c>
      <c r="T33" s="282">
        <f t="shared" si="42"/>
        <v>7.8749174293456052</v>
      </c>
      <c r="U33" s="278">
        <f t="shared" si="40"/>
        <v>8.1234669715981855</v>
      </c>
      <c r="V33" s="181">
        <f t="shared" si="15"/>
        <v>3.1519272521249135</v>
      </c>
      <c r="W33" s="182">
        <f t="shared" si="16"/>
        <v>-0.48491742934560467</v>
      </c>
      <c r="X33" s="456">
        <f t="shared" si="17"/>
        <v>-10.786218632380612</v>
      </c>
      <c r="Y33" s="59">
        <f t="shared" si="18"/>
        <v>0.89079228754925688</v>
      </c>
      <c r="Z33" s="60">
        <f t="shared" si="19"/>
        <v>0.79224784780327873</v>
      </c>
      <c r="AA33" s="300">
        <f t="shared" si="48"/>
        <v>0.5344470248504265</v>
      </c>
      <c r="AB33" s="56">
        <f t="shared" si="20"/>
        <v>0.55198383949267704</v>
      </c>
      <c r="AC33" s="55">
        <f t="shared" si="21"/>
        <v>0.55198383949267704</v>
      </c>
      <c r="AD33" s="55">
        <f t="shared" si="22"/>
        <v>0.58449569560655745</v>
      </c>
      <c r="AE33" s="61">
        <f t="shared" si="23"/>
        <v>1.0807013695051275</v>
      </c>
      <c r="AF33" s="61">
        <f t="shared" si="24"/>
        <v>0.70088320559338602</v>
      </c>
      <c r="AG33" s="61">
        <f t="shared" si="25"/>
        <v>1.0807013695051275</v>
      </c>
      <c r="AH33" s="61">
        <f t="shared" si="26"/>
        <v>0.70088320559338602</v>
      </c>
      <c r="AI33" s="61">
        <f t="shared" si="27"/>
        <v>0.89079228754925688</v>
      </c>
      <c r="AJ33" s="61">
        <f t="shared" si="28"/>
        <v>0.89079228754925688</v>
      </c>
      <c r="AK33" s="306">
        <f t="shared" si="46"/>
        <v>5.6962983960861917E-4</v>
      </c>
      <c r="AL33" s="57">
        <f t="shared" si="29"/>
        <v>7.3900000000000006</v>
      </c>
      <c r="AM33" s="190">
        <f t="shared" si="35"/>
        <v>10</v>
      </c>
      <c r="AN33" s="193">
        <f t="shared" si="41"/>
        <v>10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11.5</v>
      </c>
      <c r="B34" s="64">
        <f t="shared" si="0"/>
        <v>4.8279455144922627</v>
      </c>
      <c r="C34" s="64">
        <f t="shared" si="1"/>
        <v>6.8279455144922627</v>
      </c>
      <c r="D34" s="183">
        <f t="shared" si="2"/>
        <v>-73.841923691849985</v>
      </c>
      <c r="E34" s="64">
        <f t="shared" si="3"/>
        <v>0.14972999999999997</v>
      </c>
      <c r="F34" s="65">
        <f t="shared" si="4"/>
        <v>12662.157634615347</v>
      </c>
      <c r="G34" s="65">
        <f t="shared" si="5"/>
        <v>28985.507246376808</v>
      </c>
      <c r="H34" s="66">
        <f t="shared" si="6"/>
        <v>82.60268157220149</v>
      </c>
      <c r="I34" s="66">
        <f t="shared" si="7"/>
        <v>92.935599466843527</v>
      </c>
      <c r="J34" s="426">
        <f t="shared" si="8"/>
        <v>2.3612234265315433</v>
      </c>
      <c r="K34" s="253">
        <f t="shared" si="9"/>
        <v>0.2487040763592212</v>
      </c>
      <c r="L34" s="271">
        <f t="shared" si="10"/>
        <v>0</v>
      </c>
      <c r="M34" s="272">
        <f t="shared" si="11"/>
        <v>0</v>
      </c>
      <c r="N34" s="381">
        <f t="shared" si="47"/>
        <v>0.38145722075590499</v>
      </c>
      <c r="O34" s="64">
        <f t="shared" si="12"/>
        <v>-0.5097601687507991</v>
      </c>
      <c r="P34" s="64">
        <f t="shared" si="13"/>
        <v>0</v>
      </c>
      <c r="Q34" s="64">
        <f t="shared" si="14"/>
        <v>0</v>
      </c>
      <c r="R34" s="271">
        <f t="shared" si="44"/>
        <v>0.22567593631880087</v>
      </c>
      <c r="S34" s="64">
        <f t="shared" si="45"/>
        <v>0.20815957775674307</v>
      </c>
      <c r="T34" s="344">
        <f t="shared" si="42"/>
        <v>8.0044616758552554</v>
      </c>
      <c r="U34" s="279">
        <f t="shared" si="40"/>
        <v>8.2531657522144748</v>
      </c>
      <c r="V34" s="168">
        <f t="shared" si="15"/>
        <v>3.1765161613629926</v>
      </c>
      <c r="W34" s="184">
        <f t="shared" si="16"/>
        <v>-0.6144616758552548</v>
      </c>
      <c r="X34" s="457">
        <f t="shared" si="17"/>
        <v>-10.885240767820335</v>
      </c>
      <c r="Y34" s="72">
        <f t="shared" si="18"/>
        <v>0.88698904518622479</v>
      </c>
      <c r="Z34" s="73">
        <f t="shared" si="19"/>
        <v>0.79030041834455456</v>
      </c>
      <c r="AA34" s="301">
        <f t="shared" si="48"/>
        <v>0.53177992112375949</v>
      </c>
      <c r="AB34" s="69">
        <f t="shared" si="20"/>
        <v>0.54828611742645483</v>
      </c>
      <c r="AC34" s="68">
        <f t="shared" si="21"/>
        <v>0.54828611742645483</v>
      </c>
      <c r="AD34" s="68">
        <f t="shared" si="22"/>
        <v>0.58060083668910911</v>
      </c>
      <c r="AE34" s="23">
        <f t="shared" si="23"/>
        <v>1.0760873093165324</v>
      </c>
      <c r="AF34" s="23">
        <f t="shared" si="24"/>
        <v>0.69789078105591706</v>
      </c>
      <c r="AG34" s="23">
        <f t="shared" si="25"/>
        <v>1.0760873093165324</v>
      </c>
      <c r="AH34" s="23">
        <f t="shared" si="26"/>
        <v>0.69789078105591706</v>
      </c>
      <c r="AI34" s="23">
        <f t="shared" si="27"/>
        <v>0.88698904518622479</v>
      </c>
      <c r="AJ34" s="23">
        <f t="shared" si="28"/>
        <v>0.88698904518622479</v>
      </c>
      <c r="AK34" s="295">
        <f t="shared" si="46"/>
        <v>5.6369936332690326E-4</v>
      </c>
      <c r="AL34" s="70">
        <f t="shared" si="29"/>
        <v>7.3900000000000006</v>
      </c>
      <c r="AM34" s="191">
        <f t="shared" si="35"/>
        <v>10</v>
      </c>
      <c r="AN34" s="192">
        <f t="shared" si="41"/>
        <v>10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11.75</v>
      </c>
      <c r="B35" s="64">
        <f t="shared" si="0"/>
        <v>4.9329008517638337</v>
      </c>
      <c r="C35" s="64">
        <f t="shared" si="1"/>
        <v>6.9329008517638337</v>
      </c>
      <c r="D35" s="183">
        <f t="shared" si="2"/>
        <v>-75.447182902542366</v>
      </c>
      <c r="E35" s="64">
        <f t="shared" si="3"/>
        <v>0.15298499999999998</v>
      </c>
      <c r="F35" s="65">
        <f t="shared" si="4"/>
        <v>12392.750025368214</v>
      </c>
      <c r="G35" s="65">
        <f t="shared" si="5"/>
        <v>28368.794326241132</v>
      </c>
      <c r="H35" s="66">
        <f t="shared" si="6"/>
        <v>83.056695513147787</v>
      </c>
      <c r="I35" s="66">
        <f t="shared" si="7"/>
        <v>93.339366372966111</v>
      </c>
      <c r="J35" s="426">
        <f t="shared" si="8"/>
        <v>2.3909165165751398</v>
      </c>
      <c r="K35" s="253">
        <f t="shared" si="9"/>
        <v>0.24886216232709657</v>
      </c>
      <c r="L35" s="271">
        <f t="shared" si="10"/>
        <v>0</v>
      </c>
      <c r="M35" s="272">
        <f t="shared" si="11"/>
        <v>0</v>
      </c>
      <c r="N35" s="381">
        <f t="shared" si="47"/>
        <v>0.37434594948774103</v>
      </c>
      <c r="O35" s="64">
        <f t="shared" si="12"/>
        <v>-0.52084191154972947</v>
      </c>
      <c r="P35" s="64">
        <f t="shared" si="13"/>
        <v>0</v>
      </c>
      <c r="Q35" s="64">
        <f t="shared" si="14"/>
        <v>0</v>
      </c>
      <c r="R35" s="271">
        <f t="shared" si="44"/>
        <v>0.2256581608762474</v>
      </c>
      <c r="S35" s="64">
        <f t="shared" si="45"/>
        <v>0.21129675525105757</v>
      </c>
      <c r="T35" s="344">
        <f t="shared" si="42"/>
        <v>8.1351182339540191</v>
      </c>
      <c r="U35" s="279">
        <f t="shared" si="40"/>
        <v>8.3839803962811157</v>
      </c>
      <c r="V35" s="168">
        <f t="shared" si="15"/>
        <v>3.2022173821901854</v>
      </c>
      <c r="W35" s="184">
        <f t="shared" si="16"/>
        <v>-0.74511823395401855</v>
      </c>
      <c r="X35" s="457">
        <f t="shared" si="17"/>
        <v>-10.984635647128346</v>
      </c>
      <c r="Y35" s="72">
        <f t="shared" si="18"/>
        <v>0.88315211296291807</v>
      </c>
      <c r="Z35" s="73">
        <f t="shared" si="19"/>
        <v>0.78832237894860091</v>
      </c>
      <c r="AA35" s="301">
        <f t="shared" si="48"/>
        <v>0.52902202477391824</v>
      </c>
      <c r="AB35" s="69">
        <f t="shared" si="20"/>
        <v>0.54453040198513269</v>
      </c>
      <c r="AC35" s="68">
        <f t="shared" si="21"/>
        <v>0.54453040198513269</v>
      </c>
      <c r="AD35" s="68">
        <f t="shared" si="22"/>
        <v>0.57664475789720182</v>
      </c>
      <c r="AE35" s="23">
        <f t="shared" si="23"/>
        <v>1.0714323768857252</v>
      </c>
      <c r="AF35" s="23">
        <f t="shared" si="24"/>
        <v>0.69487184904011079</v>
      </c>
      <c r="AG35" s="23">
        <f t="shared" si="25"/>
        <v>1.0714323768857252</v>
      </c>
      <c r="AH35" s="23">
        <f t="shared" si="26"/>
        <v>0.69487184904011079</v>
      </c>
      <c r="AI35" s="23">
        <f t="shared" si="27"/>
        <v>0.88315211296291807</v>
      </c>
      <c r="AJ35" s="23">
        <f t="shared" si="28"/>
        <v>0.88315211296291807</v>
      </c>
      <c r="AK35" s="295">
        <f t="shared" si="46"/>
        <v>5.5782595626778638E-4</v>
      </c>
      <c r="AL35" s="70">
        <f t="shared" si="29"/>
        <v>7.3900000000000006</v>
      </c>
      <c r="AM35" s="191">
        <f t="shared" si="35"/>
        <v>10</v>
      </c>
      <c r="AN35" s="192">
        <f t="shared" si="41"/>
        <v>10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12</v>
      </c>
      <c r="B36" s="64">
        <f t="shared" si="0"/>
        <v>5.0378561890354039</v>
      </c>
      <c r="C36" s="64">
        <f t="shared" si="1"/>
        <v>7.0378561890354039</v>
      </c>
      <c r="D36" s="183">
        <f t="shared" si="2"/>
        <v>-77.052442113234761</v>
      </c>
      <c r="E36" s="64">
        <f t="shared" si="3"/>
        <v>0.15623999999999999</v>
      </c>
      <c r="F36" s="65">
        <f t="shared" si="4"/>
        <v>12134.567733173044</v>
      </c>
      <c r="G36" s="65">
        <f t="shared" si="5"/>
        <v>27777.777777777777</v>
      </c>
      <c r="H36" s="66">
        <f t="shared" si="6"/>
        <v>83.517924970665092</v>
      </c>
      <c r="I36" s="66">
        <f t="shared" si="7"/>
        <v>93.750020995990695</v>
      </c>
      <c r="J36" s="426">
        <f t="shared" si="8"/>
        <v>2.4212672818825238</v>
      </c>
      <c r="K36" s="253">
        <f t="shared" si="9"/>
        <v>0.24902408346332727</v>
      </c>
      <c r="L36" s="271">
        <f t="shared" si="10"/>
        <v>0</v>
      </c>
      <c r="M36" s="272">
        <f t="shared" si="11"/>
        <v>0</v>
      </c>
      <c r="N36" s="381">
        <f t="shared" si="47"/>
        <v>0.36742667713237859</v>
      </c>
      <c r="O36" s="64">
        <f t="shared" si="12"/>
        <v>-0.53192365434865996</v>
      </c>
      <c r="P36" s="64">
        <f t="shared" si="13"/>
        <v>0</v>
      </c>
      <c r="Q36" s="64">
        <f t="shared" si="14"/>
        <v>0</v>
      </c>
      <c r="R36" s="271">
        <f t="shared" si="44"/>
        <v>0.22573263606532545</v>
      </c>
      <c r="S36" s="64">
        <f t="shared" si="45"/>
        <v>0.21460465226317477</v>
      </c>
      <c r="T36" s="344">
        <f t="shared" si="42"/>
        <v>8.2668874363788056</v>
      </c>
      <c r="U36" s="279">
        <f t="shared" si="40"/>
        <v>8.5159115198421329</v>
      </c>
      <c r="V36" s="168">
        <f t="shared" si="15"/>
        <v>3.2290312473434017</v>
      </c>
      <c r="W36" s="184">
        <f t="shared" si="16"/>
        <v>-0.87688743637880506</v>
      </c>
      <c r="X36" s="457">
        <f t="shared" si="17"/>
        <v>-11.08440013573969</v>
      </c>
      <c r="Y36" s="72">
        <f t="shared" si="18"/>
        <v>0.87928362851705666</v>
      </c>
      <c r="Z36" s="73">
        <f t="shared" si="19"/>
        <v>0.78631445604602201</v>
      </c>
      <c r="AA36" s="301">
        <f t="shared" si="48"/>
        <v>0.52617547779967411</v>
      </c>
      <c r="AB36" s="69">
        <f t="shared" si="20"/>
        <v>0.54071804530637335</v>
      </c>
      <c r="AC36" s="68">
        <f t="shared" si="21"/>
        <v>0.54071804530637335</v>
      </c>
      <c r="AD36" s="68">
        <f t="shared" si="22"/>
        <v>0.57262891209204403</v>
      </c>
      <c r="AE36" s="23">
        <f t="shared" si="23"/>
        <v>1.0667391655759895</v>
      </c>
      <c r="AF36" s="23">
        <f t="shared" si="24"/>
        <v>0.69182809145812396</v>
      </c>
      <c r="AG36" s="23">
        <f t="shared" si="25"/>
        <v>1.0667391655759895</v>
      </c>
      <c r="AH36" s="23">
        <f t="shared" si="26"/>
        <v>0.69182809145812396</v>
      </c>
      <c r="AI36" s="23">
        <f t="shared" si="27"/>
        <v>0.87928362851705666</v>
      </c>
      <c r="AJ36" s="23">
        <f t="shared" si="28"/>
        <v>0.87928362851705666</v>
      </c>
      <c r="AK36" s="295">
        <f t="shared" si="46"/>
        <v>5.5201186221589908E-4</v>
      </c>
      <c r="AL36" s="70">
        <f t="shared" si="29"/>
        <v>7.3900000000000006</v>
      </c>
      <c r="AM36" s="191">
        <f t="shared" si="35"/>
        <v>10</v>
      </c>
      <c r="AN36" s="192">
        <f t="shared" si="41"/>
        <v>10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12.25</v>
      </c>
      <c r="B37" s="64">
        <f t="shared" si="0"/>
        <v>5.1428115263069749</v>
      </c>
      <c r="C37" s="64">
        <f t="shared" si="1"/>
        <v>7.1428115263069749</v>
      </c>
      <c r="D37" s="183">
        <f t="shared" si="2"/>
        <v>-78.657701323927157</v>
      </c>
      <c r="E37" s="64">
        <f t="shared" si="3"/>
        <v>0.15949499999999997</v>
      </c>
      <c r="F37" s="65">
        <f t="shared" si="4"/>
        <v>11886.923493720533</v>
      </c>
      <c r="G37" s="65">
        <f t="shared" si="5"/>
        <v>27210.884353741494</v>
      </c>
      <c r="H37" s="66">
        <f t="shared" si="6"/>
        <v>83.986251067923092</v>
      </c>
      <c r="I37" s="66">
        <f t="shared" si="7"/>
        <v>94.167473226094714</v>
      </c>
      <c r="J37" s="426">
        <f t="shared" si="8"/>
        <v>2.4522769666115116</v>
      </c>
      <c r="K37" s="253">
        <f t="shared" si="9"/>
        <v>0.24919014708442511</v>
      </c>
      <c r="L37" s="271">
        <f t="shared" si="10"/>
        <v>0</v>
      </c>
      <c r="M37" s="272">
        <f t="shared" si="11"/>
        <v>0</v>
      </c>
      <c r="N37" s="381">
        <f t="shared" si="47"/>
        <v>0.36069358320995815</v>
      </c>
      <c r="O37" s="64">
        <f t="shared" si="12"/>
        <v>-0.54300539714759044</v>
      </c>
      <c r="P37" s="64">
        <f t="shared" si="13"/>
        <v>0</v>
      </c>
      <c r="Q37" s="64">
        <f t="shared" si="14"/>
        <v>0</v>
      </c>
      <c r="R37" s="271">
        <f t="shared" si="44"/>
        <v>0.22590006732347431</v>
      </c>
      <c r="S37" s="64">
        <f t="shared" si="45"/>
        <v>0.21808819236519308</v>
      </c>
      <c r="T37" s="344">
        <f t="shared" si="42"/>
        <v>8.399770335817113</v>
      </c>
      <c r="U37" s="279">
        <f t="shared" si="40"/>
        <v>8.6489604829015381</v>
      </c>
      <c r="V37" s="168">
        <f t="shared" si="15"/>
        <v>3.2569588095101381</v>
      </c>
      <c r="W37" s="184">
        <f t="shared" si="16"/>
        <v>-1.0097703358171124</v>
      </c>
      <c r="X37" s="457">
        <f t="shared" si="17"/>
        <v>-11.184531580397998</v>
      </c>
      <c r="Y37" s="72">
        <f t="shared" si="18"/>
        <v>0.87538569116094767</v>
      </c>
      <c r="Z37" s="73">
        <f t="shared" si="19"/>
        <v>0.78427738228854338</v>
      </c>
      <c r="AA37" s="301">
        <f t="shared" si="48"/>
        <v>0.52324241928793014</v>
      </c>
      <c r="AB37" s="69">
        <f t="shared" si="20"/>
        <v>0.53685040939176654</v>
      </c>
      <c r="AC37" s="68">
        <f t="shared" si="21"/>
        <v>0.53685040939176654</v>
      </c>
      <c r="AD37" s="68">
        <f t="shared" si="22"/>
        <v>0.56855476457708676</v>
      </c>
      <c r="AE37" s="23">
        <f t="shared" si="23"/>
        <v>1.062010222254554</v>
      </c>
      <c r="AF37" s="23">
        <f t="shared" si="24"/>
        <v>0.68876116006734134</v>
      </c>
      <c r="AG37" s="23">
        <f t="shared" si="25"/>
        <v>1.062010222254554</v>
      </c>
      <c r="AH37" s="23">
        <f t="shared" si="26"/>
        <v>0.68876116006734134</v>
      </c>
      <c r="AI37" s="23">
        <f t="shared" si="27"/>
        <v>0.87538569116094767</v>
      </c>
      <c r="AJ37" s="23">
        <f t="shared" si="28"/>
        <v>0.87538569116094767</v>
      </c>
      <c r="AK37" s="295">
        <f t="shared" si="46"/>
        <v>5.4625905162944866E-4</v>
      </c>
      <c r="AL37" s="70">
        <f t="shared" si="29"/>
        <v>7.3900000000000006</v>
      </c>
      <c r="AM37" s="191">
        <f t="shared" si="35"/>
        <v>10</v>
      </c>
      <c r="AN37" s="192">
        <f t="shared" si="41"/>
        <v>10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12.5</v>
      </c>
      <c r="B38" s="76">
        <f t="shared" si="0"/>
        <v>5.2477668635785459</v>
      </c>
      <c r="C38" s="76">
        <f t="shared" si="1"/>
        <v>7.2477668635785459</v>
      </c>
      <c r="D38" s="185">
        <f t="shared" si="2"/>
        <v>-80.262960534619538</v>
      </c>
      <c r="E38" s="76">
        <f t="shared" si="3"/>
        <v>0.16274999999999998</v>
      </c>
      <c r="F38" s="77">
        <f t="shared" si="4"/>
        <v>11649.185023846123</v>
      </c>
      <c r="G38" s="77">
        <f t="shared" si="5"/>
        <v>26666.666666666664</v>
      </c>
      <c r="H38" s="78">
        <f t="shared" si="6"/>
        <v>84.461555755736924</v>
      </c>
      <c r="I38" s="78">
        <f t="shared" si="7"/>
        <v>94.591633065628542</v>
      </c>
      <c r="J38" s="427">
        <f t="shared" si="8"/>
        <v>2.4839468808748029</v>
      </c>
      <c r="K38" s="254">
        <f t="shared" si="9"/>
        <v>0.24936068460876726</v>
      </c>
      <c r="L38" s="257">
        <f t="shared" si="10"/>
        <v>0</v>
      </c>
      <c r="M38" s="273">
        <f t="shared" si="11"/>
        <v>0</v>
      </c>
      <c r="N38" s="389">
        <f t="shared" si="47"/>
        <v>0.35414106127510403</v>
      </c>
      <c r="O38" s="76">
        <f t="shared" si="12"/>
        <v>-0.55408713994652081</v>
      </c>
      <c r="P38" s="76">
        <f t="shared" si="13"/>
        <v>0</v>
      </c>
      <c r="Q38" s="76">
        <f t="shared" si="14"/>
        <v>0</v>
      </c>
      <c r="R38" s="257">
        <f>10*LOG10(1/SQRT(1-AK38*(Q/AA38)^2))</f>
        <v>0.22616124500783821</v>
      </c>
      <c r="S38" s="76">
        <f>-10*LOG10(AA38*SQRT(1-Q*Q*((SD_blw^2+AK38)/AA38^2+Vmn+(P38*P38))))-$T$13-J38-L38-Q38-N38-R38-Pmn</f>
        <v>0.22175267383585326</v>
      </c>
      <c r="T38" s="283">
        <f t="shared" si="42"/>
        <v>8.533768724572143</v>
      </c>
      <c r="U38" s="280">
        <f t="shared" si="40"/>
        <v>8.7831294091809102</v>
      </c>
      <c r="V38" s="186">
        <f t="shared" si="15"/>
        <v>3.286001860993597</v>
      </c>
      <c r="W38" s="187">
        <f t="shared" si="16"/>
        <v>-1.1437687245721424</v>
      </c>
      <c r="X38" s="458">
        <f t="shared" si="17"/>
        <v>-11.285027814154411</v>
      </c>
      <c r="Y38" s="80">
        <f t="shared" si="18"/>
        <v>0.87146036032290808</v>
      </c>
      <c r="Z38" s="83">
        <f t="shared" si="19"/>
        <v>0.78221189583701189</v>
      </c>
      <c r="AA38" s="302">
        <f t="shared" si="48"/>
        <v>0.52022498432210507</v>
      </c>
      <c r="AB38" s="79">
        <f t="shared" si="20"/>
        <v>0.53292886488089364</v>
      </c>
      <c r="AC38" s="80">
        <f t="shared" si="21"/>
        <v>0.53292886488089364</v>
      </c>
      <c r="AD38" s="80">
        <f t="shared" si="22"/>
        <v>0.56442379167402379</v>
      </c>
      <c r="AE38" s="84">
        <f t="shared" si="23"/>
        <v>1.0572480454017426</v>
      </c>
      <c r="AF38" s="84">
        <f t="shared" si="24"/>
        <v>0.6856726752440736</v>
      </c>
      <c r="AG38" s="84">
        <f t="shared" si="25"/>
        <v>1.0572480454017426</v>
      </c>
      <c r="AH38" s="84">
        <f t="shared" si="26"/>
        <v>0.6856726752440736</v>
      </c>
      <c r="AI38" s="84">
        <f t="shared" si="27"/>
        <v>0.87146036032290808</v>
      </c>
      <c r="AJ38" s="84">
        <f t="shared" si="28"/>
        <v>0.87146036032290808</v>
      </c>
      <c r="AK38" s="387">
        <f t="shared" si="46"/>
        <v>5.4056923959255984E-4</v>
      </c>
      <c r="AL38" s="81">
        <f t="shared" si="29"/>
        <v>7.3900000000000006</v>
      </c>
      <c r="AM38" s="194">
        <f t="shared" si="35"/>
        <v>10</v>
      </c>
      <c r="AN38" s="195">
        <f>ROUNDUP(L6,0)</f>
        <v>10</v>
      </c>
      <c r="AO38" s="82">
        <f t="shared" si="36"/>
        <v>0</v>
      </c>
      <c r="AP38" s="354">
        <f t="shared" si="49"/>
        <v>0</v>
      </c>
      <c r="AQ38" s="454">
        <f>IF($A38=$L$3,B_1*Tb_eff/(SQRT(8)*H38),0)</f>
        <v>0</v>
      </c>
      <c r="AR38" s="454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14"/>
      <c r="Z39" s="294" t="s">
        <v>288</v>
      </c>
      <c r="AA39" s="294"/>
      <c r="AB39" s="294"/>
      <c r="AC39" s="294"/>
      <c r="AD39" s="294"/>
      <c r="AE39" s="385"/>
      <c r="AF39" s="294"/>
      <c r="AG39" s="294"/>
      <c r="AH39" s="294"/>
      <c r="AI39" s="294"/>
      <c r="AJ39" s="294"/>
      <c r="AK39" s="294"/>
      <c r="AL39" s="296" t="s">
        <v>169</v>
      </c>
      <c r="AM39" s="313"/>
      <c r="AO39" s="90">
        <f>SUM(AO18:AO38)</f>
        <v>0.14608230737499461</v>
      </c>
      <c r="AP39" s="386">
        <f>SUM(AP18:AP38)</f>
        <v>90.662683654965264</v>
      </c>
      <c r="AQ39" s="453">
        <f>SUM(AQ18:AQ38)</f>
        <v>0.90317740325007578</v>
      </c>
      <c r="AR39" s="453">
        <f>SUM(AR18:AR38)</f>
        <v>0.90317740325007578</v>
      </c>
      <c r="AS39" s="7"/>
      <c r="AT39" s="294" t="s">
        <v>287</v>
      </c>
      <c r="AU39" s="7"/>
      <c r="AV39" s="7"/>
      <c r="AW39" s="313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>0.5+(-0.5+Z41)*$Y$44</f>
        <v>-0.29946702198534303</v>
      </c>
      <c r="AB41" s="294">
        <f>MAX(MIN(B_1*Tb_eff*($AA41)/(SQRT(2)*$AG$9),10),-10)</f>
        <v>-0.5885856346592826</v>
      </c>
      <c r="AC41" s="294">
        <f>MAX(MIN(B_1*Tb_eff*(1-$AA41)/(SQRT(2)*$AG$9),10),-10)</f>
        <v>2.5540295448341066</v>
      </c>
      <c r="AD41" s="315">
        <f t="shared" ref="AD41:AD69" si="51">(ERF(AB41)+1)/2</f>
        <v>0.20259561093578377</v>
      </c>
      <c r="AE41" s="315">
        <f t="shared" ref="AE41:AE69" si="52">(ERF(AC41)+1)/2</f>
        <v>0.99984804444162401</v>
      </c>
      <c r="AF41" s="316">
        <f>AD41+AE41-1</f>
        <v>0.20244365537740783</v>
      </c>
      <c r="AG41" s="316">
        <f>1-AD41</f>
        <v>0.79740438906421618</v>
      </c>
      <c r="AH41" s="316">
        <f>1-AE41</f>
        <v>1.519555583759935E-4</v>
      </c>
      <c r="AI41" s="316">
        <f>1-AF41</f>
        <v>0.79755634462259217</v>
      </c>
      <c r="AJ41" s="294">
        <f>Z41-1</f>
        <v>-1.25</v>
      </c>
      <c r="AK41" s="294">
        <f>Z41+1</f>
        <v>0.75</v>
      </c>
      <c r="AL41" s="294">
        <f t="shared" ref="AL41:AL46" si="53">$Z41-$G$9/(2*$Y$44)</f>
        <v>-0.25</v>
      </c>
      <c r="AM41" s="313">
        <f>$Z41+$G$9/(2*$Y$44)</f>
        <v>-0.25</v>
      </c>
      <c r="AN41" s="294">
        <f>$C$12</f>
        <v>0.3</v>
      </c>
      <c r="AO41" s="296">
        <v>0.5</v>
      </c>
      <c r="AP41" s="314">
        <f>MAX(MIN(B_1*Tb_eff*($AA41)/(SQRT(2)*$AP$39),10),-10)</f>
        <v>-0.54456633520977404</v>
      </c>
      <c r="AQ41" s="294">
        <f t="shared" ref="AQ41:AQ69" si="54">MAX(MIN(B_1*Tb_eff*(1-$AA41)/(SQRT(2)*$AP$39),10),-10)</f>
        <v>2.3630181019503103</v>
      </c>
      <c r="AR41" s="315">
        <f t="shared" ref="AR41:AR69" si="55">(ERF(AP41)+1)/2</f>
        <v>0.22061047253332311</v>
      </c>
      <c r="AS41" s="315">
        <f t="shared" ref="AS41:AS69" si="56">(ERF(AQ41)+1)/2</f>
        <v>0.9995838332981497</v>
      </c>
      <c r="AT41" s="316">
        <f t="shared" ref="AT41:AT69" si="57">AR41+AS41-1</f>
        <v>0.22019430583147281</v>
      </c>
      <c r="AU41" s="316">
        <f t="shared" ref="AU41:AW69" si="58">1-AR41</f>
        <v>0.77938952746667689</v>
      </c>
      <c r="AV41" s="316">
        <f t="shared" si="58"/>
        <v>4.1616670185029569E-4</v>
      </c>
      <c r="AW41" s="338">
        <f t="shared" si="58"/>
        <v>0.77980569416852719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>Z41+$Y$42</f>
        <v>-0.2</v>
      </c>
      <c r="AA42" s="294">
        <f t="shared" ref="AA42:AA69" si="59">0.5+(-0.5+Z42)*$Y$44</f>
        <v>-0.2461692205196534</v>
      </c>
      <c r="AB42" s="294">
        <f t="shared" ref="AB42:AB69" si="60">MAX(MIN(B_1*Tb_eff*($AA42)/(SQRT(2)*$AG$9),10),-10)</f>
        <v>-0.48383179534283605</v>
      </c>
      <c r="AC42" s="294">
        <f>MAX(MIN(B_1*Tb_eff*(1-$AA42)/(SQRT(2)*$AG$9),10),-10)</f>
        <v>2.4492757055176599</v>
      </c>
      <c r="AD42" s="315">
        <f t="shared" si="51"/>
        <v>0.24691134444089458</v>
      </c>
      <c r="AE42" s="315">
        <f t="shared" si="52"/>
        <v>0.99973369776229459</v>
      </c>
      <c r="AF42" s="316">
        <f t="shared" ref="AF42:AF69" si="61">AD42+AE42-1</f>
        <v>0.24664504220318917</v>
      </c>
      <c r="AG42" s="316">
        <f t="shared" ref="AG42:AG64" si="62">1-AD42</f>
        <v>0.75308865555910542</v>
      </c>
      <c r="AH42" s="316">
        <f t="shared" ref="AH42:AH65" si="63">1-AE42</f>
        <v>2.6630223770540695E-4</v>
      </c>
      <c r="AI42" s="316">
        <f t="shared" ref="AI42:AI65" si="64">1-AF42</f>
        <v>0.75335495779681083</v>
      </c>
      <c r="AJ42" s="294">
        <f t="shared" ref="AJ42:AJ69" si="65">Z42-1</f>
        <v>-1.2</v>
      </c>
      <c r="AK42" s="294">
        <f t="shared" ref="AK42:AK69" si="66">Z42+1</f>
        <v>0.8</v>
      </c>
      <c r="AL42" s="294">
        <f t="shared" si="53"/>
        <v>-0.2</v>
      </c>
      <c r="AM42" s="313">
        <f t="shared" ref="AM42:AM69" si="67">$Z42+$G$9/(2*$Y$44)</f>
        <v>-0.2</v>
      </c>
      <c r="AN42" s="294">
        <f>$C$13</f>
        <v>0.4</v>
      </c>
      <c r="AO42" s="296">
        <f>$C$14</f>
        <v>0.25</v>
      </c>
      <c r="AP42" s="314">
        <f t="shared" ref="AP42:AP69" si="68">MAX(MIN(B_1*Tb_eff*($AA42)/(SQRT(2)*$AP$39),10),-10)</f>
        <v>-0.44764685397110437</v>
      </c>
      <c r="AQ42" s="294">
        <f t="shared" si="54"/>
        <v>2.2660986207116403</v>
      </c>
      <c r="AR42" s="315">
        <f t="shared" si="55"/>
        <v>0.26334453674053582</v>
      </c>
      <c r="AS42" s="315">
        <f t="shared" si="56"/>
        <v>0.99932409470993444</v>
      </c>
      <c r="AT42" s="316">
        <f t="shared" si="57"/>
        <v>0.26266863145047026</v>
      </c>
      <c r="AU42" s="316">
        <f t="shared" si="58"/>
        <v>0.73665546325946418</v>
      </c>
      <c r="AV42" s="316">
        <f t="shared" si="58"/>
        <v>6.7590529006555933E-4</v>
      </c>
      <c r="AW42" s="338">
        <f t="shared" si="58"/>
        <v>0.73733136854952974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ref="Z43:Z61" si="69">Z42+$Y$42</f>
        <v>-0.15000000000000002</v>
      </c>
      <c r="AA43" s="294">
        <f t="shared" si="59"/>
        <v>-0.19287141905396399</v>
      </c>
      <c r="AB43" s="294">
        <f t="shared" si="60"/>
        <v>-0.37907795602639005</v>
      </c>
      <c r="AC43" s="294">
        <f t="shared" ref="AC43:AC69" si="70">MAX(MIN(B_1*Tb_eff*(1-$AA43)/(SQRT(2)*$AG$9),10),-10)</f>
        <v>2.3445218662012137</v>
      </c>
      <c r="AD43" s="315">
        <f t="shared" si="51"/>
        <v>0.29594569221190931</v>
      </c>
      <c r="AE43" s="315">
        <f t="shared" si="52"/>
        <v>0.99954285626281658</v>
      </c>
      <c r="AF43" s="316">
        <f t="shared" si="61"/>
        <v>0.29548854847472583</v>
      </c>
      <c r="AG43" s="316">
        <f t="shared" si="62"/>
        <v>0.70405430778809075</v>
      </c>
      <c r="AH43" s="316">
        <f t="shared" si="63"/>
        <v>4.5714373718341861E-4</v>
      </c>
      <c r="AI43" s="316">
        <f t="shared" si="64"/>
        <v>0.70451145152527417</v>
      </c>
      <c r="AJ43" s="294">
        <f t="shared" si="65"/>
        <v>-1.1499999999999999</v>
      </c>
      <c r="AK43" s="294">
        <f t="shared" si="66"/>
        <v>0.85</v>
      </c>
      <c r="AL43" s="294">
        <f t="shared" si="53"/>
        <v>-0.15000000000000002</v>
      </c>
      <c r="AM43" s="313">
        <f t="shared" si="67"/>
        <v>-0.15000000000000002</v>
      </c>
      <c r="AN43" s="294">
        <f>1-AN42</f>
        <v>0.6</v>
      </c>
      <c r="AO43" s="296">
        <f>$C$14</f>
        <v>0.25</v>
      </c>
      <c r="AP43" s="314">
        <f t="shared" si="68"/>
        <v>-0.35072737273243515</v>
      </c>
      <c r="AQ43" s="294">
        <f t="shared" si="54"/>
        <v>2.1691791394729711</v>
      </c>
      <c r="AR43" s="315">
        <f t="shared" si="55"/>
        <v>0.30994600351997426</v>
      </c>
      <c r="AS43" s="315">
        <f t="shared" si="56"/>
        <v>0.99892137176547036</v>
      </c>
      <c r="AT43" s="316">
        <f t="shared" si="57"/>
        <v>0.30886737528544472</v>
      </c>
      <c r="AU43" s="316">
        <f t="shared" si="58"/>
        <v>0.69005399648002574</v>
      </c>
      <c r="AV43" s="316">
        <f t="shared" si="58"/>
        <v>1.0786282345296438E-3</v>
      </c>
      <c r="AW43" s="338">
        <f t="shared" si="58"/>
        <v>0.69113262471455528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9"/>
        <v>-0.13957361758827436</v>
      </c>
      <c r="AB44" s="294">
        <f t="shared" si="60"/>
        <v>-0.27432411670994356</v>
      </c>
      <c r="AC44" s="294">
        <f t="shared" si="70"/>
        <v>2.2397680268847671</v>
      </c>
      <c r="AD44" s="315">
        <f t="shared" si="51"/>
        <v>0.34902544974376154</v>
      </c>
      <c r="AE44" s="315">
        <f t="shared" si="52"/>
        <v>0.99923124873563873</v>
      </c>
      <c r="AF44" s="316">
        <f t="shared" si="61"/>
        <v>0.34825669847940022</v>
      </c>
      <c r="AG44" s="316">
        <f t="shared" si="62"/>
        <v>0.65097455025623852</v>
      </c>
      <c r="AH44" s="316">
        <f t="shared" si="63"/>
        <v>7.6875126436126706E-4</v>
      </c>
      <c r="AI44" s="316">
        <f t="shared" si="64"/>
        <v>0.65174330152059978</v>
      </c>
      <c r="AJ44" s="294">
        <f t="shared" si="65"/>
        <v>-1.1000000000000001</v>
      </c>
      <c r="AK44" s="294">
        <f t="shared" si="66"/>
        <v>0.9</v>
      </c>
      <c r="AL44" s="294">
        <f t="shared" si="53"/>
        <v>-0.10000000000000002</v>
      </c>
      <c r="AM44" s="313">
        <f t="shared" si="67"/>
        <v>-0.10000000000000002</v>
      </c>
      <c r="AN44" s="294">
        <f>1-AN41</f>
        <v>0.7</v>
      </c>
      <c r="AO44" s="296">
        <v>0.5</v>
      </c>
      <c r="AP44" s="314">
        <f t="shared" si="68"/>
        <v>-0.25380789149376548</v>
      </c>
      <c r="AQ44" s="294">
        <f t="shared" si="54"/>
        <v>2.0722596582343011</v>
      </c>
      <c r="AR44" s="315">
        <f t="shared" si="55"/>
        <v>0.3598205253252007</v>
      </c>
      <c r="AS44" s="315">
        <f t="shared" si="56"/>
        <v>0.99830855600140345</v>
      </c>
      <c r="AT44" s="316">
        <f t="shared" si="57"/>
        <v>0.35812908132660404</v>
      </c>
      <c r="AU44" s="316">
        <f t="shared" si="58"/>
        <v>0.6401794746747993</v>
      </c>
      <c r="AV44" s="316">
        <f t="shared" si="58"/>
        <v>1.6914439985965535E-3</v>
      </c>
      <c r="AW44" s="338">
        <f t="shared" si="58"/>
        <v>0.64187091867339596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9"/>
        <v>-8.6275816122584947E-2</v>
      </c>
      <c r="AB45" s="294">
        <f t="shared" si="60"/>
        <v>-0.16957027739349745</v>
      </c>
      <c r="AC45" s="294">
        <f t="shared" si="70"/>
        <v>2.1350141875683213</v>
      </c>
      <c r="AD45" s="315">
        <f t="shared" si="51"/>
        <v>0.4052393252274919</v>
      </c>
      <c r="AE45" s="315">
        <f t="shared" si="52"/>
        <v>0.99873347848822125</v>
      </c>
      <c r="AF45" s="316">
        <f t="shared" si="61"/>
        <v>0.40397280371571309</v>
      </c>
      <c r="AG45" s="316">
        <f t="shared" si="62"/>
        <v>0.59476067477250805</v>
      </c>
      <c r="AH45" s="316">
        <f t="shared" si="63"/>
        <v>1.2665215117787509E-3</v>
      </c>
      <c r="AI45" s="316">
        <f t="shared" si="64"/>
        <v>0.59602719628428691</v>
      </c>
      <c r="AJ45" s="294">
        <f t="shared" si="65"/>
        <v>-1.05</v>
      </c>
      <c r="AK45" s="294">
        <f t="shared" si="66"/>
        <v>0.95</v>
      </c>
      <c r="AL45" s="294">
        <f t="shared" si="53"/>
        <v>-5.0000000000000017E-2</v>
      </c>
      <c r="AM45" s="313">
        <f t="shared" si="67"/>
        <v>-5.0000000000000017E-2</v>
      </c>
      <c r="AN45" s="294">
        <f>AN43</f>
        <v>0.6</v>
      </c>
      <c r="AO45" s="296">
        <f>1-$C$14</f>
        <v>0.75</v>
      </c>
      <c r="AP45" s="314">
        <f t="shared" si="68"/>
        <v>-0.15688841025509623</v>
      </c>
      <c r="AQ45" s="294">
        <f t="shared" si="54"/>
        <v>1.9753401769956325</v>
      </c>
      <c r="AR45" s="315">
        <f t="shared" si="55"/>
        <v>0.41220609548013359</v>
      </c>
      <c r="AS45" s="315">
        <f t="shared" si="56"/>
        <v>0.99739337467370048</v>
      </c>
      <c r="AT45" s="316">
        <f t="shared" si="57"/>
        <v>0.40959947015383413</v>
      </c>
      <c r="AU45" s="316">
        <f t="shared" si="58"/>
        <v>0.58779390451986635</v>
      </c>
      <c r="AV45" s="316">
        <f t="shared" si="58"/>
        <v>2.6066253262995165E-3</v>
      </c>
      <c r="AW45" s="338">
        <f t="shared" si="58"/>
        <v>0.59040052984616587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9"/>
        <v>-3.2978014656895316E-2</v>
      </c>
      <c r="AB46" s="294">
        <f t="shared" si="60"/>
        <v>-6.4816438077050981E-2</v>
      </c>
      <c r="AC46" s="294">
        <f t="shared" si="70"/>
        <v>2.0302603482518746</v>
      </c>
      <c r="AD46" s="315">
        <f t="shared" si="51"/>
        <v>0.46348238684807874</v>
      </c>
      <c r="AE46" s="315">
        <f t="shared" si="52"/>
        <v>0.99795555690394455</v>
      </c>
      <c r="AF46" s="316">
        <f t="shared" si="61"/>
        <v>0.46143794375202329</v>
      </c>
      <c r="AG46" s="316">
        <f t="shared" si="62"/>
        <v>0.53651761315192126</v>
      </c>
      <c r="AH46" s="316">
        <f t="shared" si="63"/>
        <v>2.0444430960554483E-3</v>
      </c>
      <c r="AI46" s="316">
        <f t="shared" si="64"/>
        <v>0.53856205624797671</v>
      </c>
      <c r="AJ46" s="294">
        <f t="shared" si="65"/>
        <v>-1</v>
      </c>
      <c r="AK46" s="294">
        <f t="shared" si="66"/>
        <v>1</v>
      </c>
      <c r="AL46" s="294">
        <f t="shared" si="53"/>
        <v>0</v>
      </c>
      <c r="AM46" s="313">
        <f t="shared" si="67"/>
        <v>0</v>
      </c>
      <c r="AN46" s="294">
        <f>AN42</f>
        <v>0.4</v>
      </c>
      <c r="AO46" s="296">
        <f>AO45</f>
        <v>0.75</v>
      </c>
      <c r="AP46" s="314">
        <f t="shared" si="68"/>
        <v>-5.9968929016426586E-2</v>
      </c>
      <c r="AQ46" s="294">
        <f t="shared" si="54"/>
        <v>1.8784206957569627</v>
      </c>
      <c r="AR46" s="315">
        <f t="shared" si="55"/>
        <v>0.4662066697669125</v>
      </c>
      <c r="AS46" s="315">
        <f t="shared" si="56"/>
        <v>0.99605203722607938</v>
      </c>
      <c r="AT46" s="316">
        <f t="shared" si="57"/>
        <v>0.46225870699299199</v>
      </c>
      <c r="AU46" s="316">
        <f t="shared" si="58"/>
        <v>0.5337933302330875</v>
      </c>
      <c r="AV46" s="316">
        <f t="shared" si="58"/>
        <v>3.9479627739206213E-3</v>
      </c>
      <c r="AW46" s="338">
        <f t="shared" si="58"/>
        <v>0.53774129300700801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9"/>
        <v>2.0319786808794205E-2</v>
      </c>
      <c r="AB47" s="294">
        <f t="shared" si="60"/>
        <v>3.9937401239395293E-2</v>
      </c>
      <c r="AC47" s="294">
        <f t="shared" si="70"/>
        <v>1.9255065089354286</v>
      </c>
      <c r="AD47" s="315">
        <f t="shared" si="51"/>
        <v>0.52252029187856752</v>
      </c>
      <c r="AE47" s="315">
        <f t="shared" si="52"/>
        <v>0.99676615503098509</v>
      </c>
      <c r="AF47" s="316">
        <f t="shared" si="61"/>
        <v>0.51928644690955261</v>
      </c>
      <c r="AG47" s="316">
        <f t="shared" si="62"/>
        <v>0.47747970812143248</v>
      </c>
      <c r="AH47" s="316">
        <f t="shared" si="63"/>
        <v>3.2338449690149096E-3</v>
      </c>
      <c r="AI47" s="316">
        <f t="shared" si="64"/>
        <v>0.48071355309044739</v>
      </c>
      <c r="AJ47" s="294">
        <f t="shared" si="65"/>
        <v>-0.95</v>
      </c>
      <c r="AK47" s="294">
        <f t="shared" si="66"/>
        <v>1.05</v>
      </c>
      <c r="AL47" s="294">
        <f t="shared" ref="AL47:AL69" si="71">$Z47-$G$9/(2*$Y$44)</f>
        <v>0.05</v>
      </c>
      <c r="AM47" s="313">
        <f t="shared" si="67"/>
        <v>0.05</v>
      </c>
      <c r="AN47" s="319">
        <f>AN41</f>
        <v>0.3</v>
      </c>
      <c r="AO47" s="337">
        <v>0.5</v>
      </c>
      <c r="AP47" s="314">
        <f t="shared" si="68"/>
        <v>3.6950552222242868E-2</v>
      </c>
      <c r="AQ47" s="294">
        <f t="shared" si="54"/>
        <v>1.7815012145182934</v>
      </c>
      <c r="AR47" s="315">
        <f t="shared" si="55"/>
        <v>0.52083763273134864</v>
      </c>
      <c r="AS47" s="315">
        <f t="shared" si="56"/>
        <v>0.99412263562823111</v>
      </c>
      <c r="AT47" s="316">
        <f t="shared" si="57"/>
        <v>0.51496026835957975</v>
      </c>
      <c r="AU47" s="316">
        <f t="shared" si="58"/>
        <v>0.47916236726865136</v>
      </c>
      <c r="AV47" s="316">
        <f t="shared" si="58"/>
        <v>5.8773643717688895E-3</v>
      </c>
      <c r="AW47" s="338">
        <f t="shared" si="58"/>
        <v>0.48503973164042025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9"/>
        <v>7.3617588274483725E-2</v>
      </c>
      <c r="AB48" s="294">
        <f t="shared" si="60"/>
        <v>0.14469124055584154</v>
      </c>
      <c r="AC48" s="294">
        <f t="shared" si="70"/>
        <v>1.8207526696189822</v>
      </c>
      <c r="AD48" s="315">
        <f t="shared" si="51"/>
        <v>0.58106717153741638</v>
      </c>
      <c r="AE48" s="315">
        <f t="shared" si="52"/>
        <v>0.99498702643648773</v>
      </c>
      <c r="AF48" s="316">
        <f t="shared" si="61"/>
        <v>0.576054197973904</v>
      </c>
      <c r="AG48" s="316">
        <f t="shared" si="62"/>
        <v>0.41893282846258362</v>
      </c>
      <c r="AH48" s="316">
        <f t="shared" si="63"/>
        <v>5.0129735635122685E-3</v>
      </c>
      <c r="AI48" s="316">
        <f t="shared" si="64"/>
        <v>0.423945802026096</v>
      </c>
      <c r="AJ48" s="294">
        <f t="shared" si="65"/>
        <v>-0.9</v>
      </c>
      <c r="AK48" s="294">
        <f t="shared" si="66"/>
        <v>1.1000000000000001</v>
      </c>
      <c r="AL48" s="294">
        <f t="shared" si="71"/>
        <v>0.1</v>
      </c>
      <c r="AM48" s="313">
        <f t="shared" si="67"/>
        <v>0.1</v>
      </c>
      <c r="AP48" s="314">
        <f t="shared" si="68"/>
        <v>0.13387003346091231</v>
      </c>
      <c r="AQ48" s="294">
        <f t="shared" si="54"/>
        <v>1.6845817332796238</v>
      </c>
      <c r="AR48" s="315">
        <f t="shared" si="55"/>
        <v>0.5750793095966632</v>
      </c>
      <c r="AS48" s="315">
        <f t="shared" si="56"/>
        <v>0.99139892533194818</v>
      </c>
      <c r="AT48" s="316">
        <f t="shared" si="57"/>
        <v>0.56647823492861127</v>
      </c>
      <c r="AU48" s="316">
        <f t="shared" si="58"/>
        <v>0.4249206904033368</v>
      </c>
      <c r="AV48" s="316">
        <f t="shared" si="58"/>
        <v>8.6010746680518224E-3</v>
      </c>
      <c r="AW48" s="338">
        <f t="shared" si="58"/>
        <v>0.43352176507138873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9"/>
        <v>0.1269153897401733</v>
      </c>
      <c r="AB49" s="294">
        <f t="shared" si="60"/>
        <v>0.24944507987228795</v>
      </c>
      <c r="AC49" s="294">
        <f t="shared" si="70"/>
        <v>1.7159988303025357</v>
      </c>
      <c r="AD49" s="315">
        <f t="shared" si="51"/>
        <v>0.63786904272040501</v>
      </c>
      <c r="AE49" s="315">
        <f t="shared" si="52"/>
        <v>0.9923834399899214</v>
      </c>
      <c r="AF49" s="316">
        <f t="shared" si="61"/>
        <v>0.63025248271032641</v>
      </c>
      <c r="AG49" s="316">
        <f t="shared" si="62"/>
        <v>0.36213095727959499</v>
      </c>
      <c r="AH49" s="316">
        <f t="shared" si="63"/>
        <v>7.6165600100785991E-3</v>
      </c>
      <c r="AI49" s="316">
        <f t="shared" si="64"/>
        <v>0.36974751728967359</v>
      </c>
      <c r="AJ49" s="294">
        <f t="shared" si="65"/>
        <v>-0.85</v>
      </c>
      <c r="AK49" s="294">
        <f t="shared" si="66"/>
        <v>1.1499999999999999</v>
      </c>
      <c r="AL49" s="294">
        <f t="shared" si="71"/>
        <v>0.15000000000000002</v>
      </c>
      <c r="AM49" s="313">
        <f t="shared" si="67"/>
        <v>0.15000000000000002</v>
      </c>
      <c r="AP49" s="314">
        <f t="shared" si="68"/>
        <v>0.23078951469958187</v>
      </c>
      <c r="AQ49" s="294">
        <f t="shared" si="54"/>
        <v>1.5876622520409542</v>
      </c>
      <c r="AR49" s="315">
        <f t="shared" si="55"/>
        <v>0.62793370781607283</v>
      </c>
      <c r="AS49" s="315">
        <f t="shared" si="56"/>
        <v>0.98762535113378469</v>
      </c>
      <c r="AT49" s="316">
        <f t="shared" si="57"/>
        <v>0.61555905894985763</v>
      </c>
      <c r="AU49" s="316">
        <f t="shared" si="58"/>
        <v>0.37206629218392717</v>
      </c>
      <c r="AV49" s="316">
        <f t="shared" si="58"/>
        <v>1.237464886621531E-2</v>
      </c>
      <c r="AW49" s="338">
        <f t="shared" si="58"/>
        <v>0.38444094105014237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9"/>
        <v>0.18021319120586282</v>
      </c>
      <c r="AB50" s="294">
        <f t="shared" si="60"/>
        <v>0.35419891918873425</v>
      </c>
      <c r="AC50" s="294">
        <f t="shared" si="70"/>
        <v>1.6112449909860895</v>
      </c>
      <c r="AD50" s="315">
        <f t="shared" si="51"/>
        <v>0.69178379370797305</v>
      </c>
      <c r="AE50" s="315">
        <f t="shared" si="52"/>
        <v>0.98865589735713233</v>
      </c>
      <c r="AF50" s="316">
        <f t="shared" si="61"/>
        <v>0.68043969106510538</v>
      </c>
      <c r="AG50" s="316">
        <f t="shared" si="62"/>
        <v>0.30821620629202695</v>
      </c>
      <c r="AH50" s="316">
        <f t="shared" si="63"/>
        <v>1.1344102642867671E-2</v>
      </c>
      <c r="AI50" s="316">
        <f t="shared" si="64"/>
        <v>0.31956030893489462</v>
      </c>
      <c r="AJ50" s="294">
        <f t="shared" si="65"/>
        <v>-0.8</v>
      </c>
      <c r="AK50" s="294">
        <f t="shared" si="66"/>
        <v>1.2</v>
      </c>
      <c r="AL50" s="294">
        <f t="shared" si="71"/>
        <v>0.2</v>
      </c>
      <c r="AM50" s="313">
        <f t="shared" si="67"/>
        <v>0.2</v>
      </c>
      <c r="AP50" s="314">
        <f t="shared" si="68"/>
        <v>0.32770899593825131</v>
      </c>
      <c r="AQ50" s="294">
        <f t="shared" si="54"/>
        <v>1.4907427708022847</v>
      </c>
      <c r="AR50" s="315">
        <f t="shared" si="55"/>
        <v>0.6784792583436442</v>
      </c>
      <c r="AS50" s="315">
        <f t="shared" si="56"/>
        <v>0.98249439165113261</v>
      </c>
      <c r="AT50" s="316">
        <f t="shared" si="57"/>
        <v>0.66097364999477692</v>
      </c>
      <c r="AU50" s="316">
        <f t="shared" si="58"/>
        <v>0.3215207416563558</v>
      </c>
      <c r="AV50" s="316">
        <f t="shared" si="58"/>
        <v>1.7505608348867385E-2</v>
      </c>
      <c r="AW50" s="338">
        <f t="shared" si="58"/>
        <v>0.33902635000522308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9"/>
        <v>0.23351099267155234</v>
      </c>
      <c r="AB51" s="294">
        <f t="shared" si="60"/>
        <v>0.45895275850518047</v>
      </c>
      <c r="AC51" s="294">
        <f t="shared" si="70"/>
        <v>1.5064911516696433</v>
      </c>
      <c r="AD51" s="315">
        <f t="shared" si="51"/>
        <v>0.7418493026088242</v>
      </c>
      <c r="AE51" s="315">
        <f t="shared" si="52"/>
        <v>0.98343483109513485</v>
      </c>
      <c r="AF51" s="316">
        <f t="shared" si="61"/>
        <v>0.72528413370395906</v>
      </c>
      <c r="AG51" s="316">
        <f t="shared" si="62"/>
        <v>0.2581506973911758</v>
      </c>
      <c r="AH51" s="316">
        <f t="shared" si="63"/>
        <v>1.6565168904865146E-2</v>
      </c>
      <c r="AI51" s="316">
        <f t="shared" si="64"/>
        <v>0.27471586629604094</v>
      </c>
      <c r="AJ51" s="294">
        <f t="shared" si="65"/>
        <v>-0.75</v>
      </c>
      <c r="AK51" s="294">
        <f t="shared" si="66"/>
        <v>1.25</v>
      </c>
      <c r="AL51" s="294">
        <f t="shared" si="71"/>
        <v>0.25</v>
      </c>
      <c r="AM51" s="313">
        <f t="shared" si="67"/>
        <v>0.25</v>
      </c>
      <c r="AP51" s="314">
        <f t="shared" si="68"/>
        <v>0.42462847717692076</v>
      </c>
      <c r="AQ51" s="294">
        <f t="shared" si="54"/>
        <v>1.3938232895636153</v>
      </c>
      <c r="AR51" s="315">
        <f t="shared" si="55"/>
        <v>0.72591858345844773</v>
      </c>
      <c r="AS51" s="315">
        <f t="shared" si="56"/>
        <v>0.9756474284430221</v>
      </c>
      <c r="AT51" s="316">
        <f t="shared" si="57"/>
        <v>0.70156601190146972</v>
      </c>
      <c r="AU51" s="316">
        <f t="shared" si="58"/>
        <v>0.27408141654155227</v>
      </c>
      <c r="AV51" s="316">
        <f t="shared" si="58"/>
        <v>2.4352571556977898E-2</v>
      </c>
      <c r="AW51" s="338">
        <f t="shared" si="58"/>
        <v>0.29843398809853028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9"/>
        <v>0.28680879413724186</v>
      </c>
      <c r="AB52" s="294">
        <f t="shared" si="60"/>
        <v>0.5637065978216268</v>
      </c>
      <c r="AC52" s="294">
        <f t="shared" si="70"/>
        <v>1.4017373123531969</v>
      </c>
      <c r="AD52" s="315">
        <f t="shared" si="51"/>
        <v>0.78733299708749438</v>
      </c>
      <c r="AE52" s="315">
        <f t="shared" si="52"/>
        <v>0.97628029017433149</v>
      </c>
      <c r="AF52" s="316">
        <f t="shared" si="61"/>
        <v>0.76361328726182576</v>
      </c>
      <c r="AG52" s="316">
        <f t="shared" si="62"/>
        <v>0.21266700291250562</v>
      </c>
      <c r="AH52" s="316">
        <f t="shared" si="63"/>
        <v>2.3719709825668511E-2</v>
      </c>
      <c r="AI52" s="316">
        <f t="shared" si="64"/>
        <v>0.23638671273817424</v>
      </c>
      <c r="AJ52" s="294">
        <f t="shared" si="65"/>
        <v>-0.7</v>
      </c>
      <c r="AK52" s="294">
        <f t="shared" si="66"/>
        <v>1.3</v>
      </c>
      <c r="AL52" s="294">
        <f t="shared" si="71"/>
        <v>0.3</v>
      </c>
      <c r="AM52" s="313">
        <f t="shared" si="67"/>
        <v>0.3</v>
      </c>
      <c r="AP52" s="314">
        <f t="shared" si="68"/>
        <v>0.52154795841559021</v>
      </c>
      <c r="AQ52" s="294">
        <f t="shared" si="54"/>
        <v>1.2969038083249458</v>
      </c>
      <c r="AR52" s="315">
        <f t="shared" si="55"/>
        <v>0.76961520332634425</v>
      </c>
      <c r="AS52" s="315">
        <f t="shared" si="56"/>
        <v>0.96668034672281822</v>
      </c>
      <c r="AT52" s="316">
        <f t="shared" si="57"/>
        <v>0.73629555004916236</v>
      </c>
      <c r="AU52" s="316">
        <f t="shared" si="58"/>
        <v>0.23038479667365575</v>
      </c>
      <c r="AV52" s="316">
        <f t="shared" si="58"/>
        <v>3.3319653277181782E-2</v>
      </c>
      <c r="AW52" s="338">
        <f t="shared" si="58"/>
        <v>0.26370444995083764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9"/>
        <v>0.34010659560293138</v>
      </c>
      <c r="AB53" s="294">
        <f t="shared" si="60"/>
        <v>0.66846043713807302</v>
      </c>
      <c r="AC53" s="294">
        <f t="shared" si="70"/>
        <v>1.2969834730367509</v>
      </c>
      <c r="AD53" s="315">
        <f t="shared" si="51"/>
        <v>0.8277588224911494</v>
      </c>
      <c r="AE53" s="315">
        <f t="shared" si="52"/>
        <v>0.96668870622582337</v>
      </c>
      <c r="AF53" s="316">
        <f t="shared" si="61"/>
        <v>0.79444752871697277</v>
      </c>
      <c r="AG53" s="316">
        <f t="shared" si="62"/>
        <v>0.1722411775088506</v>
      </c>
      <c r="AH53" s="316">
        <f t="shared" si="63"/>
        <v>3.3311293774176631E-2</v>
      </c>
      <c r="AI53" s="316">
        <f t="shared" si="64"/>
        <v>0.20555247128302723</v>
      </c>
      <c r="AJ53" s="294">
        <f t="shared" si="65"/>
        <v>-0.65</v>
      </c>
      <c r="AK53" s="294">
        <f t="shared" si="66"/>
        <v>1.35</v>
      </c>
      <c r="AL53" s="294">
        <f t="shared" si="71"/>
        <v>0.35</v>
      </c>
      <c r="AM53" s="313">
        <f t="shared" si="67"/>
        <v>0.35</v>
      </c>
      <c r="AP53" s="314">
        <f t="shared" si="68"/>
        <v>0.61846743965425965</v>
      </c>
      <c r="AQ53" s="294">
        <f t="shared" si="54"/>
        <v>1.1999843270862764</v>
      </c>
      <c r="AR53" s="315">
        <f t="shared" si="55"/>
        <v>0.80911646379355828</v>
      </c>
      <c r="AS53" s="315">
        <f t="shared" si="56"/>
        <v>0.95515489404297249</v>
      </c>
      <c r="AT53" s="316">
        <f t="shared" si="57"/>
        <v>0.76427135783653077</v>
      </c>
      <c r="AU53" s="316">
        <f t="shared" si="58"/>
        <v>0.19088353620644172</v>
      </c>
      <c r="AV53" s="316">
        <f t="shared" si="58"/>
        <v>4.4845105957027509E-2</v>
      </c>
      <c r="AW53" s="338">
        <f t="shared" si="58"/>
        <v>0.23572864216346923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>0.5+(-0.5+Z54)*$Y$44</f>
        <v>0.3934043970686209</v>
      </c>
      <c r="AB54" s="294">
        <f t="shared" si="60"/>
        <v>0.77321427645451934</v>
      </c>
      <c r="AC54" s="294">
        <f t="shared" si="70"/>
        <v>1.1922296337203044</v>
      </c>
      <c r="AD54" s="315">
        <f t="shared" si="51"/>
        <v>0.86291066691711926</v>
      </c>
      <c r="AE54" s="315">
        <f t="shared" si="52"/>
        <v>0.95410858295172685</v>
      </c>
      <c r="AF54" s="316">
        <f t="shared" si="61"/>
        <v>0.81701924986884622</v>
      </c>
      <c r="AG54" s="316">
        <f t="shared" si="62"/>
        <v>0.13708933308288074</v>
      </c>
      <c r="AH54" s="316">
        <f t="shared" si="63"/>
        <v>4.5891417048273153E-2</v>
      </c>
      <c r="AI54" s="316">
        <f t="shared" si="64"/>
        <v>0.18298075013115378</v>
      </c>
      <c r="AJ54" s="294">
        <f t="shared" si="65"/>
        <v>-0.60000000000000009</v>
      </c>
      <c r="AK54" s="294">
        <f t="shared" si="66"/>
        <v>1.4</v>
      </c>
      <c r="AL54" s="294">
        <f t="shared" si="71"/>
        <v>0.39999999999999997</v>
      </c>
      <c r="AM54" s="313">
        <f t="shared" si="67"/>
        <v>0.39999999999999997</v>
      </c>
      <c r="AP54" s="314">
        <f t="shared" si="68"/>
        <v>0.7153869208929291</v>
      </c>
      <c r="AQ54" s="294">
        <f t="shared" si="54"/>
        <v>1.1030648458476069</v>
      </c>
      <c r="AR54" s="315">
        <f t="shared" si="55"/>
        <v>0.8441616063295192</v>
      </c>
      <c r="AS54" s="315">
        <f t="shared" si="56"/>
        <v>0.94061642777432186</v>
      </c>
      <c r="AT54" s="316">
        <f t="shared" si="57"/>
        <v>0.78477803410384106</v>
      </c>
      <c r="AU54" s="316">
        <f t="shared" si="58"/>
        <v>0.1558383936704808</v>
      </c>
      <c r="AV54" s="316">
        <f t="shared" si="58"/>
        <v>5.9383572225678138E-2</v>
      </c>
      <c r="AW54" s="338">
        <f t="shared" si="58"/>
        <v>0.21522196589615894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9"/>
        <v>0.44670219853431042</v>
      </c>
      <c r="AB55" s="294">
        <f t="shared" si="60"/>
        <v>0.87796811577096556</v>
      </c>
      <c r="AC55" s="294">
        <f t="shared" si="70"/>
        <v>1.0874757944038582</v>
      </c>
      <c r="AD55" s="315">
        <f t="shared" si="51"/>
        <v>0.89281426127361974</v>
      </c>
      <c r="AE55" s="315">
        <f t="shared" si="52"/>
        <v>0.93796628065333265</v>
      </c>
      <c r="AF55" s="316">
        <f t="shared" si="61"/>
        <v>0.8307805419269525</v>
      </c>
      <c r="AG55" s="316">
        <f t="shared" si="62"/>
        <v>0.10718573872638026</v>
      </c>
      <c r="AH55" s="316">
        <f t="shared" si="63"/>
        <v>6.2033719346667349E-2</v>
      </c>
      <c r="AI55" s="316">
        <f t="shared" si="64"/>
        <v>0.1692194580730475</v>
      </c>
      <c r="AJ55" s="294">
        <f t="shared" si="65"/>
        <v>-0.55000000000000004</v>
      </c>
      <c r="AK55" s="294">
        <f t="shared" si="66"/>
        <v>1.45</v>
      </c>
      <c r="AL55" s="294">
        <f t="shared" si="71"/>
        <v>0.44999999999999996</v>
      </c>
      <c r="AM55" s="313">
        <f t="shared" si="67"/>
        <v>0.44999999999999996</v>
      </c>
      <c r="AP55" s="314">
        <f t="shared" si="68"/>
        <v>0.81230640213159855</v>
      </c>
      <c r="AQ55" s="294">
        <f t="shared" si="54"/>
        <v>1.0061453646089376</v>
      </c>
      <c r="AR55" s="315">
        <f t="shared" si="55"/>
        <v>0.87467555918191187</v>
      </c>
      <c r="AS55" s="315">
        <f t="shared" si="56"/>
        <v>0.92261806766984078</v>
      </c>
      <c r="AT55" s="316">
        <f t="shared" si="57"/>
        <v>0.79729362685175253</v>
      </c>
      <c r="AU55" s="316">
        <f t="shared" si="58"/>
        <v>0.12532444081808813</v>
      </c>
      <c r="AV55" s="316">
        <f t="shared" si="58"/>
        <v>7.738193233015922E-2</v>
      </c>
      <c r="AW55" s="338">
        <f t="shared" si="58"/>
        <v>0.20270637314824747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9"/>
        <v>0.49999999999999994</v>
      </c>
      <c r="AB56" s="294">
        <f t="shared" si="60"/>
        <v>0.98272195508741178</v>
      </c>
      <c r="AC56" s="294">
        <f t="shared" si="70"/>
        <v>0.98272195508741189</v>
      </c>
      <c r="AD56" s="315">
        <f t="shared" si="51"/>
        <v>0.91770195856886083</v>
      </c>
      <c r="AE56" s="315">
        <f t="shared" si="52"/>
        <v>0.91770195856886083</v>
      </c>
      <c r="AF56" s="316">
        <f t="shared" si="61"/>
        <v>0.83540391713772166</v>
      </c>
      <c r="AG56" s="316">
        <f t="shared" si="62"/>
        <v>8.2298041431139168E-2</v>
      </c>
      <c r="AH56" s="316">
        <f t="shared" si="63"/>
        <v>8.2298041431139168E-2</v>
      </c>
      <c r="AI56" s="316">
        <f t="shared" si="64"/>
        <v>0.16459608286227834</v>
      </c>
      <c r="AJ56" s="294">
        <f t="shared" si="65"/>
        <v>-0.5</v>
      </c>
      <c r="AK56" s="294">
        <f t="shared" si="66"/>
        <v>1.5</v>
      </c>
      <c r="AL56" s="294">
        <f t="shared" si="71"/>
        <v>0.49999999999999994</v>
      </c>
      <c r="AM56" s="313">
        <f t="shared" si="67"/>
        <v>0.49999999999999994</v>
      </c>
      <c r="AP56" s="314">
        <f t="shared" si="68"/>
        <v>0.909225883370268</v>
      </c>
      <c r="AQ56" s="294">
        <f t="shared" si="54"/>
        <v>0.90922588337026811</v>
      </c>
      <c r="AR56" s="315">
        <f t="shared" si="55"/>
        <v>0.90075047236930894</v>
      </c>
      <c r="AS56" s="315">
        <f t="shared" si="56"/>
        <v>0.90075047236930894</v>
      </c>
      <c r="AT56" s="316">
        <f t="shared" si="57"/>
        <v>0.80150094473861788</v>
      </c>
      <c r="AU56" s="316">
        <f t="shared" si="58"/>
        <v>9.9249527630691059E-2</v>
      </c>
      <c r="AV56" s="316">
        <f t="shared" si="58"/>
        <v>9.9249527630691059E-2</v>
      </c>
      <c r="AW56" s="338">
        <f t="shared" si="58"/>
        <v>0.19849905526138212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9"/>
        <v>0.55329780146568941</v>
      </c>
      <c r="AB57" s="294">
        <f>MAX(MIN(B_1*Tb_eff*($AA57)/(SQRT(2)*$AG$9),10),-10)</f>
        <v>1.087475794403858</v>
      </c>
      <c r="AC57" s="294">
        <f t="shared" si="70"/>
        <v>0.8779681157709659</v>
      </c>
      <c r="AD57" s="315">
        <f t="shared" si="51"/>
        <v>0.93796628065333265</v>
      </c>
      <c r="AE57" s="315">
        <f t="shared" si="52"/>
        <v>0.89281426127361985</v>
      </c>
      <c r="AF57" s="316">
        <f t="shared" si="61"/>
        <v>0.8307805419269525</v>
      </c>
      <c r="AG57" s="316">
        <f t="shared" si="62"/>
        <v>6.2033719346667349E-2</v>
      </c>
      <c r="AH57" s="316">
        <f t="shared" si="63"/>
        <v>0.10718573872638015</v>
      </c>
      <c r="AI57" s="316">
        <f t="shared" si="64"/>
        <v>0.1692194580730475</v>
      </c>
      <c r="AJ57" s="294">
        <f t="shared" si="65"/>
        <v>-0.45000000000000007</v>
      </c>
      <c r="AK57" s="294">
        <f t="shared" si="66"/>
        <v>1.5499999999999998</v>
      </c>
      <c r="AL57" s="294">
        <f t="shared" si="71"/>
        <v>0.54999999999999993</v>
      </c>
      <c r="AM57" s="313">
        <f t="shared" si="67"/>
        <v>0.54999999999999993</v>
      </c>
      <c r="AP57" s="314">
        <f t="shared" si="68"/>
        <v>1.0061453646089373</v>
      </c>
      <c r="AQ57" s="294">
        <f t="shared" si="54"/>
        <v>0.81230640213159888</v>
      </c>
      <c r="AR57" s="315">
        <f t="shared" si="55"/>
        <v>0.92261806766984078</v>
      </c>
      <c r="AS57" s="315">
        <f t="shared" si="56"/>
        <v>0.87467555918191198</v>
      </c>
      <c r="AT57" s="316">
        <f t="shared" si="57"/>
        <v>0.79729362685175276</v>
      </c>
      <c r="AU57" s="316">
        <f t="shared" si="58"/>
        <v>7.738193233015922E-2</v>
      </c>
      <c r="AV57" s="316">
        <f t="shared" si="58"/>
        <v>0.12532444081808802</v>
      </c>
      <c r="AW57" s="338">
        <f t="shared" si="58"/>
        <v>0.20270637314824724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9"/>
        <v>0.60659560293137904</v>
      </c>
      <c r="AB58" s="294">
        <f t="shared" si="60"/>
        <v>1.1922296337203044</v>
      </c>
      <c r="AC58" s="294">
        <f t="shared" si="70"/>
        <v>0.77321427645451946</v>
      </c>
      <c r="AD58" s="315">
        <f t="shared" si="51"/>
        <v>0.95410858295172685</v>
      </c>
      <c r="AE58" s="315">
        <f t="shared" si="52"/>
        <v>0.86291066691711926</v>
      </c>
      <c r="AF58" s="316">
        <f t="shared" si="61"/>
        <v>0.81701924986884622</v>
      </c>
      <c r="AG58" s="316">
        <f t="shared" si="62"/>
        <v>4.5891417048273153E-2</v>
      </c>
      <c r="AH58" s="316">
        <f t="shared" si="63"/>
        <v>0.13708933308288074</v>
      </c>
      <c r="AI58" s="316">
        <f t="shared" si="64"/>
        <v>0.18298075013115378</v>
      </c>
      <c r="AJ58" s="294">
        <f t="shared" si="65"/>
        <v>-0.4</v>
      </c>
      <c r="AK58" s="294">
        <f t="shared" si="66"/>
        <v>1.6</v>
      </c>
      <c r="AL58" s="294">
        <f t="shared" si="71"/>
        <v>0.6</v>
      </c>
      <c r="AM58" s="313">
        <f t="shared" si="67"/>
        <v>0.6</v>
      </c>
      <c r="AP58" s="314">
        <f t="shared" si="68"/>
        <v>1.1030648458476069</v>
      </c>
      <c r="AQ58" s="294">
        <f t="shared" si="54"/>
        <v>0.71538692089292921</v>
      </c>
      <c r="AR58" s="315">
        <f t="shared" si="55"/>
        <v>0.94061642777432186</v>
      </c>
      <c r="AS58" s="315">
        <f t="shared" si="56"/>
        <v>0.8441616063295192</v>
      </c>
      <c r="AT58" s="316">
        <f t="shared" si="57"/>
        <v>0.78477803410384106</v>
      </c>
      <c r="AU58" s="316">
        <f t="shared" si="58"/>
        <v>5.9383572225678138E-2</v>
      </c>
      <c r="AV58" s="316">
        <f t="shared" si="58"/>
        <v>0.1558383936704808</v>
      </c>
      <c r="AW58" s="338">
        <f t="shared" si="58"/>
        <v>0.21522196589615894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9"/>
        <v>0.65989340439706856</v>
      </c>
      <c r="AB59" s="294">
        <f t="shared" si="60"/>
        <v>1.2969834730367509</v>
      </c>
      <c r="AC59" s="294">
        <f t="shared" si="70"/>
        <v>0.66846043713807313</v>
      </c>
      <c r="AD59" s="315">
        <f t="shared" si="51"/>
        <v>0.96668870622582337</v>
      </c>
      <c r="AE59" s="315">
        <f t="shared" si="52"/>
        <v>0.82775882249114929</v>
      </c>
      <c r="AF59" s="316">
        <f t="shared" si="61"/>
        <v>0.79444752871697277</v>
      </c>
      <c r="AG59" s="316">
        <f t="shared" si="62"/>
        <v>3.3311293774176631E-2</v>
      </c>
      <c r="AH59" s="316">
        <f t="shared" si="63"/>
        <v>0.17224117750885071</v>
      </c>
      <c r="AI59" s="316">
        <f t="shared" si="64"/>
        <v>0.20555247128302723</v>
      </c>
      <c r="AJ59" s="294">
        <f t="shared" si="65"/>
        <v>-0.35</v>
      </c>
      <c r="AK59" s="294">
        <f t="shared" si="66"/>
        <v>1.65</v>
      </c>
      <c r="AL59" s="294">
        <f t="shared" si="71"/>
        <v>0.65</v>
      </c>
      <c r="AM59" s="313">
        <f t="shared" si="67"/>
        <v>0.65</v>
      </c>
      <c r="AP59" s="314">
        <f t="shared" si="68"/>
        <v>1.1999843270862764</v>
      </c>
      <c r="AQ59" s="294">
        <f t="shared" si="54"/>
        <v>0.61846743965425977</v>
      </c>
      <c r="AR59" s="315">
        <f t="shared" si="55"/>
        <v>0.95515489404297249</v>
      </c>
      <c r="AS59" s="315">
        <f t="shared" si="56"/>
        <v>0.80911646379355839</v>
      </c>
      <c r="AT59" s="316">
        <f t="shared" si="57"/>
        <v>0.764271357836531</v>
      </c>
      <c r="AU59" s="316">
        <f t="shared" si="58"/>
        <v>4.4845105957027509E-2</v>
      </c>
      <c r="AV59" s="316">
        <f t="shared" si="58"/>
        <v>0.19088353620644161</v>
      </c>
      <c r="AW59" s="338">
        <f t="shared" si="58"/>
        <v>0.235728642163469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9"/>
        <v>0.71319120586275819</v>
      </c>
      <c r="AB60" s="294">
        <f t="shared" si="60"/>
        <v>1.4017373123531971</v>
      </c>
      <c r="AC60" s="294">
        <f t="shared" si="70"/>
        <v>0.56370659782162669</v>
      </c>
      <c r="AD60" s="315">
        <f t="shared" si="51"/>
        <v>0.97628029017433149</v>
      </c>
      <c r="AE60" s="315">
        <f t="shared" si="52"/>
        <v>0.78733299708749438</v>
      </c>
      <c r="AF60" s="316">
        <f t="shared" si="61"/>
        <v>0.76361328726182576</v>
      </c>
      <c r="AG60" s="316">
        <f t="shared" si="62"/>
        <v>2.3719709825668511E-2</v>
      </c>
      <c r="AH60" s="316">
        <f t="shared" si="63"/>
        <v>0.21266700291250562</v>
      </c>
      <c r="AI60" s="316">
        <f t="shared" si="64"/>
        <v>0.23638671273817424</v>
      </c>
      <c r="AJ60" s="294">
        <f t="shared" si="65"/>
        <v>-0.29999999999999993</v>
      </c>
      <c r="AK60" s="294">
        <f t="shared" si="66"/>
        <v>1.7000000000000002</v>
      </c>
      <c r="AL60" s="294">
        <f t="shared" si="71"/>
        <v>0.70000000000000007</v>
      </c>
      <c r="AM60" s="313">
        <f t="shared" si="67"/>
        <v>0.70000000000000007</v>
      </c>
      <c r="AP60" s="314">
        <f t="shared" si="68"/>
        <v>1.296903808324946</v>
      </c>
      <c r="AQ60" s="294">
        <f t="shared" si="54"/>
        <v>0.5215479584155901</v>
      </c>
      <c r="AR60" s="315">
        <f t="shared" si="55"/>
        <v>0.96668034672281822</v>
      </c>
      <c r="AS60" s="315">
        <f t="shared" si="56"/>
        <v>0.76961520332634425</v>
      </c>
      <c r="AT60" s="316">
        <f t="shared" si="57"/>
        <v>0.73629555004916236</v>
      </c>
      <c r="AU60" s="316">
        <f t="shared" si="58"/>
        <v>3.3319653277181782E-2</v>
      </c>
      <c r="AV60" s="316">
        <f t="shared" si="58"/>
        <v>0.23038479667365575</v>
      </c>
      <c r="AW60" s="338">
        <f t="shared" si="58"/>
        <v>0.26370444995083764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9"/>
        <v>0.76648900732844782</v>
      </c>
      <c r="AB61" s="294">
        <f t="shared" si="60"/>
        <v>1.5064911516696438</v>
      </c>
      <c r="AC61" s="294">
        <f t="shared" si="70"/>
        <v>0.45895275850518014</v>
      </c>
      <c r="AD61" s="315">
        <f t="shared" si="51"/>
        <v>0.98343483109513485</v>
      </c>
      <c r="AE61" s="315">
        <f t="shared" si="52"/>
        <v>0.74184930260882398</v>
      </c>
      <c r="AF61" s="316">
        <f t="shared" si="61"/>
        <v>0.72528413370395883</v>
      </c>
      <c r="AG61" s="316">
        <f t="shared" si="62"/>
        <v>1.6565168904865146E-2</v>
      </c>
      <c r="AH61" s="316">
        <f t="shared" si="63"/>
        <v>0.25815069739117602</v>
      </c>
      <c r="AI61" s="316">
        <f t="shared" si="64"/>
        <v>0.27471586629604117</v>
      </c>
      <c r="AJ61" s="294">
        <f t="shared" si="65"/>
        <v>-0.24999999999999989</v>
      </c>
      <c r="AK61" s="294">
        <f t="shared" si="66"/>
        <v>1.75</v>
      </c>
      <c r="AL61" s="294">
        <f t="shared" si="71"/>
        <v>0.75000000000000011</v>
      </c>
      <c r="AM61" s="313">
        <f t="shared" si="67"/>
        <v>0.75000000000000011</v>
      </c>
      <c r="AP61" s="314">
        <f t="shared" si="68"/>
        <v>1.3938232895636158</v>
      </c>
      <c r="AQ61" s="294">
        <f t="shared" si="54"/>
        <v>0.42462847717692043</v>
      </c>
      <c r="AR61" s="315">
        <f t="shared" si="55"/>
        <v>0.97564742844302221</v>
      </c>
      <c r="AS61" s="315">
        <f t="shared" si="56"/>
        <v>0.72591858345844751</v>
      </c>
      <c r="AT61" s="316">
        <f t="shared" si="57"/>
        <v>0.70156601190146972</v>
      </c>
      <c r="AU61" s="316">
        <f t="shared" si="58"/>
        <v>2.4352571556977787E-2</v>
      </c>
      <c r="AV61" s="316">
        <f t="shared" si="58"/>
        <v>0.27408141654155249</v>
      </c>
      <c r="AW61" s="338">
        <f t="shared" si="58"/>
        <v>0.29843398809853028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ref="Z62:Z69" si="72">Z61+$Y$42</f>
        <v>0.80000000000000016</v>
      </c>
      <c r="AA62" s="294">
        <f t="shared" si="59"/>
        <v>0.81978680879413734</v>
      </c>
      <c r="AB62" s="294">
        <f t="shared" si="60"/>
        <v>1.61124499098609</v>
      </c>
      <c r="AC62" s="294">
        <f t="shared" si="70"/>
        <v>0.35419891918873386</v>
      </c>
      <c r="AD62" s="315">
        <f t="shared" si="51"/>
        <v>0.98865589735713233</v>
      </c>
      <c r="AE62" s="315">
        <f t="shared" si="52"/>
        <v>0.69178379370797272</v>
      </c>
      <c r="AF62" s="316">
        <f t="shared" si="61"/>
        <v>0.68043969106510493</v>
      </c>
      <c r="AG62" s="316">
        <f t="shared" si="62"/>
        <v>1.1344102642867671E-2</v>
      </c>
      <c r="AH62" s="316">
        <f t="shared" si="63"/>
        <v>0.30821620629202728</v>
      </c>
      <c r="AI62" s="316">
        <f t="shared" si="64"/>
        <v>0.31956030893489507</v>
      </c>
      <c r="AJ62" s="294">
        <f t="shared" si="65"/>
        <v>-0.19999999999999984</v>
      </c>
      <c r="AK62" s="294">
        <f t="shared" si="66"/>
        <v>1.8000000000000003</v>
      </c>
      <c r="AL62" s="294">
        <f t="shared" si="71"/>
        <v>0.80000000000000016</v>
      </c>
      <c r="AM62" s="313">
        <f t="shared" si="67"/>
        <v>0.80000000000000016</v>
      </c>
      <c r="AP62" s="314">
        <f t="shared" si="68"/>
        <v>1.4907427708022851</v>
      </c>
      <c r="AQ62" s="294">
        <f t="shared" si="54"/>
        <v>0.32770899593825098</v>
      </c>
      <c r="AR62" s="315">
        <f t="shared" si="55"/>
        <v>0.98249439165113261</v>
      </c>
      <c r="AS62" s="315">
        <f t="shared" si="56"/>
        <v>0.67847925834364398</v>
      </c>
      <c r="AT62" s="316">
        <f t="shared" si="57"/>
        <v>0.66097364999477648</v>
      </c>
      <c r="AU62" s="316">
        <f t="shared" si="58"/>
        <v>1.7505608348867385E-2</v>
      </c>
      <c r="AV62" s="316">
        <f t="shared" si="58"/>
        <v>0.32152074165635602</v>
      </c>
      <c r="AW62" s="338">
        <f t="shared" si="58"/>
        <v>0.33902635000522352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72"/>
        <v>0.8500000000000002</v>
      </c>
      <c r="AA63" s="294">
        <f t="shared" si="59"/>
        <v>0.87308461025982687</v>
      </c>
      <c r="AB63" s="294">
        <f t="shared" si="60"/>
        <v>1.7159988303025364</v>
      </c>
      <c r="AC63" s="294">
        <f t="shared" si="70"/>
        <v>0.24944507987228762</v>
      </c>
      <c r="AD63" s="315">
        <f t="shared" si="51"/>
        <v>0.9923834399899214</v>
      </c>
      <c r="AE63" s="315">
        <f t="shared" si="52"/>
        <v>0.6378690427204049</v>
      </c>
      <c r="AF63" s="316">
        <f t="shared" si="61"/>
        <v>0.63025248271032641</v>
      </c>
      <c r="AG63" s="316">
        <f t="shared" si="62"/>
        <v>7.6165600100785991E-3</v>
      </c>
      <c r="AH63" s="316">
        <f t="shared" si="63"/>
        <v>0.3621309572795951</v>
      </c>
      <c r="AI63" s="316">
        <f t="shared" si="64"/>
        <v>0.36974751728967359</v>
      </c>
      <c r="AJ63" s="294">
        <f t="shared" si="65"/>
        <v>-0.1499999999999998</v>
      </c>
      <c r="AK63" s="294">
        <f t="shared" si="66"/>
        <v>1.85</v>
      </c>
      <c r="AL63" s="294">
        <f t="shared" si="71"/>
        <v>0.8500000000000002</v>
      </c>
      <c r="AM63" s="313">
        <f t="shared" si="67"/>
        <v>0.8500000000000002</v>
      </c>
      <c r="AP63" s="314">
        <f t="shared" si="68"/>
        <v>1.5876622520409547</v>
      </c>
      <c r="AQ63" s="294">
        <f t="shared" si="54"/>
        <v>0.23078951469958156</v>
      </c>
      <c r="AR63" s="315">
        <f t="shared" si="55"/>
        <v>0.98762535113378469</v>
      </c>
      <c r="AS63" s="315">
        <f t="shared" si="56"/>
        <v>0.62793370781607261</v>
      </c>
      <c r="AT63" s="316">
        <f t="shared" si="57"/>
        <v>0.61555905894985719</v>
      </c>
      <c r="AU63" s="316">
        <f t="shared" si="58"/>
        <v>1.237464886621531E-2</v>
      </c>
      <c r="AV63" s="316">
        <f t="shared" si="58"/>
        <v>0.37206629218392739</v>
      </c>
      <c r="AW63" s="338">
        <f t="shared" si="58"/>
        <v>0.38444094105014281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72"/>
        <v>0.90000000000000024</v>
      </c>
      <c r="AA64" s="294">
        <f t="shared" si="59"/>
        <v>0.9263824117255165</v>
      </c>
      <c r="AB64" s="294">
        <f t="shared" si="60"/>
        <v>1.8207526696189826</v>
      </c>
      <c r="AC64" s="294">
        <f t="shared" si="70"/>
        <v>0.14469124055584112</v>
      </c>
      <c r="AD64" s="315">
        <f t="shared" si="51"/>
        <v>0.99498702643648773</v>
      </c>
      <c r="AE64" s="315">
        <f t="shared" si="52"/>
        <v>0.58106717153741616</v>
      </c>
      <c r="AF64" s="316">
        <f t="shared" si="61"/>
        <v>0.576054197973904</v>
      </c>
      <c r="AG64" s="316">
        <f t="shared" si="62"/>
        <v>5.0129735635122685E-3</v>
      </c>
      <c r="AH64" s="316">
        <f t="shared" si="63"/>
        <v>0.41893282846258384</v>
      </c>
      <c r="AI64" s="316">
        <f t="shared" si="64"/>
        <v>0.423945802026096</v>
      </c>
      <c r="AJ64" s="294">
        <f t="shared" si="65"/>
        <v>-9.9999999999999756E-2</v>
      </c>
      <c r="AK64" s="294">
        <f t="shared" si="66"/>
        <v>1.9000000000000004</v>
      </c>
      <c r="AL64" s="294">
        <f t="shared" si="71"/>
        <v>0.90000000000000024</v>
      </c>
      <c r="AM64" s="313">
        <f t="shared" si="67"/>
        <v>0.90000000000000024</v>
      </c>
      <c r="AP64" s="314">
        <f t="shared" si="68"/>
        <v>1.6845817332796242</v>
      </c>
      <c r="AQ64" s="294">
        <f t="shared" si="54"/>
        <v>0.13387003346091192</v>
      </c>
      <c r="AR64" s="315">
        <f t="shared" si="55"/>
        <v>0.99139892533194829</v>
      </c>
      <c r="AS64" s="315">
        <f t="shared" si="56"/>
        <v>0.57507930959666298</v>
      </c>
      <c r="AT64" s="316">
        <f t="shared" si="57"/>
        <v>0.56647823492861127</v>
      </c>
      <c r="AU64" s="316">
        <f t="shared" si="58"/>
        <v>8.6010746680517114E-3</v>
      </c>
      <c r="AV64" s="316">
        <f t="shared" si="58"/>
        <v>0.42492069040333702</v>
      </c>
      <c r="AW64" s="338">
        <f t="shared" si="58"/>
        <v>0.43352176507138873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72"/>
        <v>0.95000000000000029</v>
      </c>
      <c r="AA65" s="294">
        <f t="shared" si="59"/>
        <v>0.97968021319120613</v>
      </c>
      <c r="AB65" s="294">
        <f>MAX(MIN(B_1*Tb_eff*($AA65)/(SQRT(2)*$AG$9),10),-10)</f>
        <v>1.9255065089354293</v>
      </c>
      <c r="AC65" s="294">
        <f t="shared" si="70"/>
        <v>3.9937401239394633E-2</v>
      </c>
      <c r="AD65" s="315">
        <f t="shared" si="51"/>
        <v>0.9967661550309852</v>
      </c>
      <c r="AE65" s="315">
        <f t="shared" si="52"/>
        <v>0.52252029187856719</v>
      </c>
      <c r="AF65" s="316">
        <f t="shared" si="61"/>
        <v>0.51928644690955239</v>
      </c>
      <c r="AG65" s="316">
        <f>1-AD65</f>
        <v>3.2338449690147986E-3</v>
      </c>
      <c r="AH65" s="316">
        <f t="shared" si="63"/>
        <v>0.47747970812143281</v>
      </c>
      <c r="AI65" s="316">
        <f t="shared" si="64"/>
        <v>0.48071355309044761</v>
      </c>
      <c r="AJ65" s="294">
        <f t="shared" si="65"/>
        <v>-4.9999999999999711E-2</v>
      </c>
      <c r="AK65" s="294">
        <f t="shared" si="66"/>
        <v>1.9500000000000002</v>
      </c>
      <c r="AL65" s="294">
        <f t="shared" si="71"/>
        <v>0.95000000000000029</v>
      </c>
      <c r="AM65" s="313">
        <f t="shared" si="67"/>
        <v>0.95000000000000029</v>
      </c>
      <c r="AP65" s="314">
        <f t="shared" si="68"/>
        <v>1.781501214518294</v>
      </c>
      <c r="AQ65" s="294">
        <f t="shared" si="54"/>
        <v>3.6950552222242257E-2</v>
      </c>
      <c r="AR65" s="315">
        <f t="shared" si="55"/>
        <v>0.99412263562823111</v>
      </c>
      <c r="AS65" s="315">
        <f t="shared" si="56"/>
        <v>0.52083763273134831</v>
      </c>
      <c r="AT65" s="316">
        <f t="shared" si="57"/>
        <v>0.51496026835957931</v>
      </c>
      <c r="AU65" s="316">
        <f t="shared" si="58"/>
        <v>5.8773643717688895E-3</v>
      </c>
      <c r="AV65" s="316">
        <f t="shared" si="58"/>
        <v>0.47916236726865169</v>
      </c>
      <c r="AW65" s="338">
        <f t="shared" si="58"/>
        <v>0.48503973164042069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72"/>
        <v>1.0000000000000002</v>
      </c>
      <c r="AA66" s="294">
        <f t="shared" si="59"/>
        <v>1.0329780146568956</v>
      </c>
      <c r="AB66" s="294">
        <f t="shared" si="60"/>
        <v>2.0302603482518755</v>
      </c>
      <c r="AC66" s="294">
        <f t="shared" si="70"/>
        <v>-6.4816438077051633E-2</v>
      </c>
      <c r="AD66" s="315">
        <f t="shared" si="51"/>
        <v>0.99795555690394455</v>
      </c>
      <c r="AE66" s="315">
        <f t="shared" si="52"/>
        <v>0.46348238684807835</v>
      </c>
      <c r="AF66" s="316">
        <f t="shared" si="61"/>
        <v>0.46143794375202285</v>
      </c>
      <c r="AG66" s="316">
        <f>1-AD66</f>
        <v>2.0444430960554483E-3</v>
      </c>
      <c r="AH66" s="316">
        <f t="shared" ref="AH66:AI69" si="73">1-AE66</f>
        <v>0.53651761315192159</v>
      </c>
      <c r="AI66" s="316">
        <f t="shared" si="73"/>
        <v>0.53856205624797715</v>
      </c>
      <c r="AJ66" s="294">
        <f t="shared" si="65"/>
        <v>0</v>
      </c>
      <c r="AK66" s="294">
        <f t="shared" si="66"/>
        <v>2</v>
      </c>
      <c r="AL66" s="294">
        <f t="shared" si="71"/>
        <v>1.0000000000000002</v>
      </c>
      <c r="AM66" s="313">
        <f t="shared" si="67"/>
        <v>1.0000000000000002</v>
      </c>
      <c r="AP66" s="314">
        <f t="shared" si="68"/>
        <v>1.8784206957569634</v>
      </c>
      <c r="AQ66" s="294">
        <f t="shared" si="54"/>
        <v>-5.996892901642719E-2</v>
      </c>
      <c r="AR66" s="315">
        <f t="shared" si="55"/>
        <v>0.99605203722607938</v>
      </c>
      <c r="AS66" s="315">
        <f t="shared" si="56"/>
        <v>0.46620666976691216</v>
      </c>
      <c r="AT66" s="316">
        <f t="shared" si="57"/>
        <v>0.46225870699299154</v>
      </c>
      <c r="AU66" s="316">
        <f t="shared" si="58"/>
        <v>3.9479627739206213E-3</v>
      </c>
      <c r="AV66" s="316">
        <f t="shared" si="58"/>
        <v>0.53379333023308784</v>
      </c>
      <c r="AW66" s="338">
        <f t="shared" si="58"/>
        <v>0.53774129300700846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72"/>
        <v>1.0500000000000003</v>
      </c>
      <c r="AA67" s="294">
        <f t="shared" si="59"/>
        <v>1.0862758161225852</v>
      </c>
      <c r="AB67" s="294">
        <f t="shared" si="60"/>
        <v>2.1350141875683217</v>
      </c>
      <c r="AC67" s="294">
        <f t="shared" si="70"/>
        <v>-0.16957027739349789</v>
      </c>
      <c r="AD67" s="315">
        <f t="shared" si="51"/>
        <v>0.99873347848822125</v>
      </c>
      <c r="AE67" s="315">
        <f t="shared" si="52"/>
        <v>0.40523932522749162</v>
      </c>
      <c r="AF67" s="316">
        <f t="shared" si="61"/>
        <v>0.40397280371571287</v>
      </c>
      <c r="AG67" s="316">
        <f>1-AD67</f>
        <v>1.2665215117787509E-3</v>
      </c>
      <c r="AH67" s="316">
        <f t="shared" si="73"/>
        <v>0.59476067477250838</v>
      </c>
      <c r="AI67" s="316">
        <f t="shared" si="73"/>
        <v>0.59602719628428713</v>
      </c>
      <c r="AJ67" s="294">
        <f t="shared" si="65"/>
        <v>5.0000000000000266E-2</v>
      </c>
      <c r="AK67" s="294">
        <f t="shared" si="66"/>
        <v>2.0500000000000003</v>
      </c>
      <c r="AL67" s="294">
        <f t="shared" si="71"/>
        <v>1.0500000000000003</v>
      </c>
      <c r="AM67" s="313">
        <f t="shared" si="67"/>
        <v>1.0500000000000003</v>
      </c>
      <c r="AP67" s="314">
        <f t="shared" si="68"/>
        <v>1.9753401769956329</v>
      </c>
      <c r="AQ67" s="294">
        <f t="shared" si="54"/>
        <v>-0.15688841025509664</v>
      </c>
      <c r="AR67" s="315">
        <f t="shared" si="55"/>
        <v>0.99739337467370048</v>
      </c>
      <c r="AS67" s="315">
        <f t="shared" si="56"/>
        <v>0.41220609548013332</v>
      </c>
      <c r="AT67" s="316">
        <f t="shared" si="57"/>
        <v>0.40959947015383369</v>
      </c>
      <c r="AU67" s="316">
        <f t="shared" si="58"/>
        <v>2.6066253262995165E-3</v>
      </c>
      <c r="AV67" s="316">
        <f t="shared" si="58"/>
        <v>0.58779390451986668</v>
      </c>
      <c r="AW67" s="338">
        <f t="shared" si="58"/>
        <v>0.59040052984616631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72"/>
        <v>1.1000000000000003</v>
      </c>
      <c r="AA68" s="294">
        <f t="shared" si="59"/>
        <v>1.1395736175882747</v>
      </c>
      <c r="AB68" s="294">
        <f t="shared" si="60"/>
        <v>2.2397680268847679</v>
      </c>
      <c r="AC68" s="294">
        <f t="shared" si="70"/>
        <v>-0.27432411670994417</v>
      </c>
      <c r="AD68" s="315">
        <f t="shared" si="51"/>
        <v>0.99923124873563873</v>
      </c>
      <c r="AE68" s="315">
        <f t="shared" si="52"/>
        <v>0.34902544974376126</v>
      </c>
      <c r="AF68" s="316">
        <f t="shared" si="61"/>
        <v>0.3482566984794</v>
      </c>
      <c r="AG68" s="316">
        <f>1-AD68</f>
        <v>7.6875126436126706E-4</v>
      </c>
      <c r="AH68" s="316">
        <f t="shared" si="73"/>
        <v>0.65097455025623874</v>
      </c>
      <c r="AI68" s="316">
        <f t="shared" si="73"/>
        <v>0.6517433015206</v>
      </c>
      <c r="AJ68" s="294">
        <f t="shared" si="65"/>
        <v>0.10000000000000031</v>
      </c>
      <c r="AK68" s="294">
        <f t="shared" si="66"/>
        <v>2.1000000000000005</v>
      </c>
      <c r="AL68" s="294">
        <f t="shared" si="71"/>
        <v>1.1000000000000003</v>
      </c>
      <c r="AM68" s="313">
        <f t="shared" si="67"/>
        <v>1.1000000000000003</v>
      </c>
      <c r="AP68" s="314">
        <f t="shared" si="68"/>
        <v>2.072259658234302</v>
      </c>
      <c r="AQ68" s="294">
        <f t="shared" si="54"/>
        <v>-0.25380789149376609</v>
      </c>
      <c r="AR68" s="315">
        <f t="shared" si="55"/>
        <v>0.99830855600140345</v>
      </c>
      <c r="AS68" s="315">
        <f t="shared" si="56"/>
        <v>0.35982052532520037</v>
      </c>
      <c r="AT68" s="316">
        <f t="shared" si="57"/>
        <v>0.35812908132660382</v>
      </c>
      <c r="AU68" s="316">
        <f t="shared" si="58"/>
        <v>1.6914439985965535E-3</v>
      </c>
      <c r="AV68" s="316">
        <f t="shared" si="58"/>
        <v>0.64017947467479963</v>
      </c>
      <c r="AW68" s="338">
        <f t="shared" si="58"/>
        <v>0.64187091867339618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72"/>
        <v>1.1500000000000004</v>
      </c>
      <c r="AA69" s="319">
        <f t="shared" si="59"/>
        <v>1.1928714190539642</v>
      </c>
      <c r="AB69" s="319">
        <f t="shared" si="60"/>
        <v>2.3445218662012142</v>
      </c>
      <c r="AC69" s="319">
        <f t="shared" si="70"/>
        <v>-0.37907795602639044</v>
      </c>
      <c r="AD69" s="320">
        <f t="shared" si="51"/>
        <v>0.99954285626281658</v>
      </c>
      <c r="AE69" s="320">
        <f t="shared" si="52"/>
        <v>0.29594569221190908</v>
      </c>
      <c r="AF69" s="321">
        <f t="shared" si="61"/>
        <v>0.29548854847472561</v>
      </c>
      <c r="AG69" s="321">
        <f>1-AD69</f>
        <v>4.5714373718341861E-4</v>
      </c>
      <c r="AH69" s="321">
        <f t="shared" si="73"/>
        <v>0.70405430778809097</v>
      </c>
      <c r="AI69" s="321">
        <f t="shared" si="73"/>
        <v>0.70451145152527439</v>
      </c>
      <c r="AJ69" s="319">
        <f t="shared" si="65"/>
        <v>0.15000000000000036</v>
      </c>
      <c r="AK69" s="319">
        <f t="shared" si="66"/>
        <v>2.1500000000000004</v>
      </c>
      <c r="AL69" s="319">
        <f t="shared" si="71"/>
        <v>1.1500000000000004</v>
      </c>
      <c r="AM69" s="322">
        <f t="shared" si="67"/>
        <v>1.1500000000000004</v>
      </c>
      <c r="AP69" s="339">
        <f t="shared" si="68"/>
        <v>2.1691791394729716</v>
      </c>
      <c r="AQ69" s="319">
        <f t="shared" si="54"/>
        <v>-0.35072737273243554</v>
      </c>
      <c r="AR69" s="320">
        <f t="shared" si="55"/>
        <v>0.99892137176547036</v>
      </c>
      <c r="AS69" s="320">
        <f t="shared" si="56"/>
        <v>0.30994600351997403</v>
      </c>
      <c r="AT69" s="321">
        <f t="shared" si="57"/>
        <v>0.30886737528544428</v>
      </c>
      <c r="AU69" s="321">
        <f t="shared" si="58"/>
        <v>1.0786282345296438E-3</v>
      </c>
      <c r="AV69" s="321">
        <f t="shared" si="58"/>
        <v>0.69005399648002597</v>
      </c>
      <c r="AW69" s="340">
        <f t="shared" si="58"/>
        <v>0.69113262471455572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T5" sqref="T5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7" t="str">
        <f>Notes!A1</f>
        <v>10GEPBud3_1_16a.xls</v>
      </c>
      <c r="S1" s="488"/>
      <c r="T1" s="488"/>
      <c r="U1" s="488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0.90880823199293592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2" t="s">
        <v>399</v>
      </c>
      <c r="K2" s="482"/>
      <c r="L2" s="483" t="s">
        <v>2</v>
      </c>
      <c r="M2" s="484"/>
      <c r="N2" s="144"/>
      <c r="O2" s="6" t="s">
        <v>139</v>
      </c>
      <c r="P2" s="152">
        <v>0.35020000000000001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0.90880823199293592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30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9">
        <v>-13.4</v>
      </c>
      <c r="U3" s="390" t="s">
        <v>117</v>
      </c>
      <c r="V3" s="172" t="s">
        <v>33</v>
      </c>
      <c r="W3" s="173" t="e">
        <f>AO39</f>
        <v>#VALUE!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 t="e">
        <f>B_1*Tb_eff/(SQRT(8)*$T$7)</f>
        <v>#VALUE!</v>
      </c>
      <c r="AH3" s="21" t="s">
        <v>30</v>
      </c>
      <c r="AI3" s="86"/>
      <c r="AJ3" s="127" t="s">
        <v>305</v>
      </c>
      <c r="AK3" s="394">
        <f>ERF(AK1)+ERF(AK2)-1</f>
        <v>0.60258937781579425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20</v>
      </c>
      <c r="M4" s="126" t="s">
        <v>9</v>
      </c>
      <c r="N4" s="121"/>
      <c r="O4" s="122" t="s">
        <v>18</v>
      </c>
      <c r="P4" s="368">
        <f>IF(Uc&gt;1000,$P$2/1.4846,$P$2/3.5)</f>
        <v>0.23588845480264045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30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 t="e">
        <f>IF(ABS($AG$3)&lt;10,SIGN($AG$3)*ERF(ABS($AG$3)),SIGN($AG$3))</f>
        <v>#VALUE!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0.55696695794698126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0.29804892885561468</v>
      </c>
      <c r="Q5" s="123" t="s">
        <v>140</v>
      </c>
      <c r="R5" s="156"/>
      <c r="S5" s="117" t="s">
        <v>43</v>
      </c>
      <c r="T5" s="139" t="s">
        <v>474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 t="e">
        <f>ERF(MAX(MIN(B_1*Tb_eff*($L$13+1)/(SQRT(8)*$T$7),10),-10))+ERF(MAX(MIN(B_1*Tb_eff*(1-$L$13)/(SQRT(8)*$T$7),10),-10))-1</f>
        <v>#VALUE!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7.6015142357109934E-4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 t="e">
        <f>T6*1000/$T$5</f>
        <v>#VALUE!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90.704348544617602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1.1025581548695111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0.49971335473376766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30km</v>
      </c>
      <c r="R11" s="157"/>
      <c r="S11" s="7"/>
      <c r="T11" s="154"/>
      <c r="U11" s="160"/>
      <c r="V11" s="464" t="s">
        <v>367</v>
      </c>
      <c r="W11" s="271">
        <f>-10*LOG10(ERF(AQ39)+ERF(AR39) - 1)</f>
        <v>2.7784773832469574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0.7150583091163607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0.56916431007077173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526315.78947368416</v>
      </c>
      <c r="Q13" s="136" t="s">
        <v>16</v>
      </c>
      <c r="R13" s="161"/>
      <c r="S13" s="147" t="s">
        <v>56</v>
      </c>
      <c r="T13" s="31" t="e">
        <f>10*LOG10(1/SQRT(1-(Q*SD_blw/$AG$5)^2))</f>
        <v>#VALUE!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5.9609785771122937E-4</v>
      </c>
      <c r="C17" s="44">
        <f t="shared" ref="C17:C38" si="1">$L$7+B17</f>
        <v>1.0005960978577113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263157894.73684207</v>
      </c>
      <c r="H17" s="46">
        <f t="shared" ref="H17:H38" si="6">SQRT((1000*C_1/F17)^2+(1000*C_1/G17)^2+$G$3^2)</f>
        <v>79.391400040930321</v>
      </c>
      <c r="I17" s="46" t="e">
        <f t="shared" ref="I17:I38" si="7">SQRT(H17^2+$T$7^2)</f>
        <v>#VALUE!</v>
      </c>
      <c r="J17" s="424" t="e">
        <f t="shared" ref="J17:J38" si="8">-10*LOG10(2*Z17 - 1)</f>
        <v>#VALUE!</v>
      </c>
      <c r="K17" s="251" t="e">
        <f t="shared" ref="K17:K38" si="9">-10*LOG10(AB17)-J17</f>
        <v>#VALUE!</v>
      </c>
      <c r="L17" s="265" t="e">
        <f t="shared" ref="L17:L38" si="10">-10*LOG10(AD17)-J17</f>
        <v>#VALUE!</v>
      </c>
      <c r="M17" s="266" t="e">
        <f t="shared" ref="M17:M38" si="11">-10*LOG10(AC17)-J17-K17</f>
        <v>#VALUE!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 t="e">
        <f>-10*LOG10(SQRT(1-Q*Q*(((SD_blw/AC17)^2)+AK17+Vmn+(P17*P17))))-$T$13-Q17-R17-Pmn</f>
        <v>#VALUE!</v>
      </c>
      <c r="T17" s="209" t="e">
        <f>J17+L17+B17+Q17+S17+Pmn</f>
        <v>#VALUE!</v>
      </c>
      <c r="U17" s="277" t="e">
        <f>J17+K17+B17+Q17+S17+Pmn+M17</f>
        <v>#VALUE!</v>
      </c>
      <c r="V17" s="178" t="e">
        <f t="shared" ref="V17:V38" si="15">T17-B17</f>
        <v>#VALUE!</v>
      </c>
      <c r="W17" s="179" t="e">
        <f t="shared" ref="W17:W38" si="16">$L$8-T17</f>
        <v>#VALUE!</v>
      </c>
      <c r="X17" s="455" t="e">
        <f t="shared" ref="X17:X38" si="17">$C$8-C17-(Q17+N17+R17+S17/2+Pmn) -$W$3</f>
        <v>#VALUE!</v>
      </c>
      <c r="Y17" s="47" t="e">
        <f t="shared" ref="Y17:Y38" si="18">B_1*Tb_eff/(SQRT(8)*I17)</f>
        <v>#VALUE!</v>
      </c>
      <c r="Z17" s="49" t="e">
        <f t="shared" ref="Z17:Z38" si="19">IF(ABS(Y17)&lt;10,SIGN(Y17)*ERF(ABS(Y17)),SIGN(Y17))</f>
        <v>#VALUE!</v>
      </c>
      <c r="AA17" s="395" t="e">
        <f>$AD17</f>
        <v>#VALUE!</v>
      </c>
      <c r="AB17" s="43" t="e">
        <f t="shared" ref="AB17:AB38" si="20">ERF(AE17)+ERF(AF17)-1</f>
        <v>#VALUE!</v>
      </c>
      <c r="AC17" s="47" t="e">
        <f t="shared" ref="AC17:AC38" si="21">ERF(AG17)+ERF(AH17)-1</f>
        <v>#VALUE!</v>
      </c>
      <c r="AD17" s="47" t="e">
        <f t="shared" ref="AD17:AD38" si="22">ERF(AI17)+ERF(AJ17)-1</f>
        <v>#VALUE!</v>
      </c>
      <c r="AE17" s="50" t="e">
        <f t="shared" ref="AE17:AE38" si="23">MAX(MIN(B_1*Tb_eff*($L$13+1)/(SQRT(8)*$I17),10),-10)</f>
        <v>#VALUE!</v>
      </c>
      <c r="AF17" s="50" t="e">
        <f t="shared" ref="AF17:AF38" si="24">MAX(MIN(B_1*Tb_eff*(1-$L$13)/(SQRT(8)*$I17),10),-10)</f>
        <v>#VALUE!</v>
      </c>
      <c r="AG17" s="50" t="e">
        <f t="shared" ref="AG17:AG38" si="25">MAX(MIN(B_1*Tb_eff*($L$13+$G$9+1)/(SQRT(8)*$I17),10),-10)</f>
        <v>#VALUE!</v>
      </c>
      <c r="AH17" s="50" t="e">
        <f t="shared" ref="AH17:AH38" si="26">MAX(MIN(B_1*Tb_eff*(1-$L$13-$G$9)/(SQRT(8)*$I17),10),-10)</f>
        <v>#VALUE!</v>
      </c>
      <c r="AI17" s="50" t="e">
        <f t="shared" ref="AI17:AI38" si="27">MAX(MIN(B_1*Tb_eff*($G$9+1)/(SQRT(8)*$I17),10),-10)</f>
        <v>#VALUE!</v>
      </c>
      <c r="AJ17" s="50" t="e">
        <f t="shared" ref="AJ17:AJ38" si="28">MAX(MIN(B_1*Tb_eff*(1-$G$9)/(SQRT(8)*$I17),10),-10)</f>
        <v>#VALUE!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20</v>
      </c>
      <c r="B18" s="52">
        <f t="shared" si="0"/>
        <v>5.9609785771122938</v>
      </c>
      <c r="C18" s="52">
        <f t="shared" si="1"/>
        <v>6.9609785771122938</v>
      </c>
      <c r="D18" s="180">
        <f t="shared" si="2"/>
        <v>381.24087874328239</v>
      </c>
      <c r="E18" s="52">
        <f t="shared" si="3"/>
        <v>2.3696399999999996E-2</v>
      </c>
      <c r="F18" s="53">
        <f t="shared" si="4"/>
        <v>26950.743815162834</v>
      </c>
      <c r="G18" s="53">
        <f t="shared" si="5"/>
        <v>26315.789473684206</v>
      </c>
      <c r="H18" s="54">
        <f t="shared" si="6"/>
        <v>83.384037319187925</v>
      </c>
      <c r="I18" s="54" t="e">
        <f t="shared" si="7"/>
        <v>#VALUE!</v>
      </c>
      <c r="J18" s="425" t="e">
        <f t="shared" si="8"/>
        <v>#VALUE!</v>
      </c>
      <c r="K18" s="252" t="e">
        <f t="shared" si="9"/>
        <v>#VALUE!</v>
      </c>
      <c r="L18" s="268" t="e">
        <f t="shared" si="10"/>
        <v>#VALUE!</v>
      </c>
      <c r="M18" s="269" t="e">
        <f t="shared" si="11"/>
        <v>#VALUE!</v>
      </c>
      <c r="N18" s="270" t="e">
        <f t="shared" ref="N18:N23" si="30">-10*LOG10(1-2*$L$10*10^(-$C18/10)*$AB$5*SQRT(2*ER*($AD18*(ER-1)+ER+1))/($AD18*(ER-1)))</f>
        <v>#VALUE!</v>
      </c>
      <c r="O18" s="52">
        <f t="shared" si="12"/>
        <v>0.23949902510589488</v>
      </c>
      <c r="P18" s="52">
        <f t="shared" si="13"/>
        <v>0</v>
      </c>
      <c r="Q18" s="52">
        <f t="shared" si="14"/>
        <v>0</v>
      </c>
      <c r="R18" s="268" t="e">
        <f t="shared" ref="R18:R23" si="31">10*LOG10(1/SQRT(1-AK18*(Q/AA18)^2))</f>
        <v>#VALUE!</v>
      </c>
      <c r="S18" s="52" t="e">
        <f t="shared" ref="S18:S23" si="32">-10*LOG10(AA18*SQRT(1-Q*Q*((SD_blw^2+AK18)/AA18^2+Vmn+(P18*P18))))-$T$13-J18-L18-Q18-N18-R18-Pmn</f>
        <v>#VALUE!</v>
      </c>
      <c r="T18" s="282" t="e">
        <f t="shared" ref="T18:T38" si="33">J18+L18+B18+Q18+N18+R18+S18+Pmn</f>
        <v>#VALUE!</v>
      </c>
      <c r="U18" s="278" t="e">
        <f t="shared" ref="U18:U38" si="34">J18+K18+B18+Q18+N18+R18+S18+Pmn+M18</f>
        <v>#VALUE!</v>
      </c>
      <c r="V18" s="181" t="e">
        <f t="shared" si="15"/>
        <v>#VALUE!</v>
      </c>
      <c r="W18" s="182" t="e">
        <f t="shared" si="16"/>
        <v>#VALUE!</v>
      </c>
      <c r="X18" s="456" t="e">
        <f t="shared" si="17"/>
        <v>#VALUE!</v>
      </c>
      <c r="Y18" s="59" t="e">
        <f t="shared" si="18"/>
        <v>#VALUE!</v>
      </c>
      <c r="Z18" s="60" t="e">
        <f t="shared" si="19"/>
        <v>#VALUE!</v>
      </c>
      <c r="AA18" s="300" t="e">
        <f t="shared" ref="AA18:AA23" si="35">$AD18*(1-2*$L$10*10^(-$C18/10)*$AB$5*SQRT(2*ER*($AD18*(ER-1)+ER+1))/($AD18*(ER-1)))</f>
        <v>#VALUE!</v>
      </c>
      <c r="AB18" s="56" t="e">
        <f t="shared" si="20"/>
        <v>#VALUE!</v>
      </c>
      <c r="AC18" s="55" t="e">
        <f t="shared" si="21"/>
        <v>#VALUE!</v>
      </c>
      <c r="AD18" s="55" t="e">
        <f t="shared" si="22"/>
        <v>#VALUE!</v>
      </c>
      <c r="AE18" s="61" t="e">
        <f t="shared" si="23"/>
        <v>#VALUE!</v>
      </c>
      <c r="AF18" s="61" t="e">
        <f t="shared" si="24"/>
        <v>#VALUE!</v>
      </c>
      <c r="AG18" s="61" t="e">
        <f t="shared" si="25"/>
        <v>#VALUE!</v>
      </c>
      <c r="AH18" s="61" t="e">
        <f t="shared" si="26"/>
        <v>#VALUE!</v>
      </c>
      <c r="AI18" s="61" t="e">
        <f t="shared" si="27"/>
        <v>#VALUE!</v>
      </c>
      <c r="AJ18" s="61" t="e">
        <f t="shared" si="28"/>
        <v>#VALUE!</v>
      </c>
      <c r="AK18" s="306" t="e">
        <f t="shared" ref="AK18:AK23" si="36">kRIN*10^6*$AK$7*$AK$7/(SQRT((1/F18)^2+(1/G18)^2+0.477*(1/$T$5)^2))*10^($G$4/10)</f>
        <v>#VALUE!</v>
      </c>
      <c r="AL18" s="57">
        <f t="shared" si="29"/>
        <v>14.01</v>
      </c>
      <c r="AM18" s="190">
        <f t="shared" ref="AM18:AM38" si="37">$L$3</f>
        <v>30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21</v>
      </c>
      <c r="B19" s="64">
        <f t="shared" si="0"/>
        <v>6.259027505967909</v>
      </c>
      <c r="C19" s="64">
        <f t="shared" si="1"/>
        <v>7.259027505967909</v>
      </c>
      <c r="D19" s="183">
        <f t="shared" si="2"/>
        <v>400.3029226804465</v>
      </c>
      <c r="E19" s="64">
        <f t="shared" si="3"/>
        <v>2.4881219999999996E-2</v>
      </c>
      <c r="F19" s="65">
        <f t="shared" si="4"/>
        <v>25667.375062059844</v>
      </c>
      <c r="G19" s="65">
        <f t="shared" si="5"/>
        <v>25062.656641604008</v>
      </c>
      <c r="H19" s="66">
        <f t="shared" si="6"/>
        <v>83.782532585442397</v>
      </c>
      <c r="I19" s="66" t="e">
        <f t="shared" si="7"/>
        <v>#VALUE!</v>
      </c>
      <c r="J19" s="426" t="e">
        <f t="shared" si="8"/>
        <v>#VALUE!</v>
      </c>
      <c r="K19" s="253" t="e">
        <f t="shared" si="9"/>
        <v>#VALUE!</v>
      </c>
      <c r="L19" s="271" t="e">
        <f t="shared" si="10"/>
        <v>#VALUE!</v>
      </c>
      <c r="M19" s="272" t="e">
        <f t="shared" si="11"/>
        <v>#VALUE!</v>
      </c>
      <c r="N19" s="256" t="e">
        <f t="shared" si="30"/>
        <v>#VALUE!</v>
      </c>
      <c r="O19" s="64">
        <f t="shared" si="12"/>
        <v>0.25147397636118962</v>
      </c>
      <c r="P19" s="64">
        <f t="shared" si="13"/>
        <v>0</v>
      </c>
      <c r="Q19" s="64">
        <f t="shared" si="14"/>
        <v>0</v>
      </c>
      <c r="R19" s="271" t="e">
        <f t="shared" si="31"/>
        <v>#VALUE!</v>
      </c>
      <c r="S19" s="64" t="e">
        <f t="shared" si="32"/>
        <v>#VALUE!</v>
      </c>
      <c r="T19" s="344" t="e">
        <f t="shared" si="33"/>
        <v>#VALUE!</v>
      </c>
      <c r="U19" s="279" t="e">
        <f t="shared" si="34"/>
        <v>#VALUE!</v>
      </c>
      <c r="V19" s="168" t="e">
        <f t="shared" si="15"/>
        <v>#VALUE!</v>
      </c>
      <c r="W19" s="184" t="e">
        <f t="shared" si="16"/>
        <v>#VALUE!</v>
      </c>
      <c r="X19" s="457" t="e">
        <f t="shared" si="17"/>
        <v>#VALUE!</v>
      </c>
      <c r="Y19" s="72" t="e">
        <f t="shared" si="18"/>
        <v>#VALUE!</v>
      </c>
      <c r="Z19" s="73" t="e">
        <f t="shared" si="19"/>
        <v>#VALUE!</v>
      </c>
      <c r="AA19" s="301" t="e">
        <f t="shared" si="35"/>
        <v>#VALUE!</v>
      </c>
      <c r="AB19" s="69" t="e">
        <f t="shared" si="20"/>
        <v>#VALUE!</v>
      </c>
      <c r="AC19" s="68" t="e">
        <f t="shared" si="21"/>
        <v>#VALUE!</v>
      </c>
      <c r="AD19" s="68" t="e">
        <f t="shared" si="22"/>
        <v>#VALUE!</v>
      </c>
      <c r="AE19" s="23" t="e">
        <f t="shared" si="23"/>
        <v>#VALUE!</v>
      </c>
      <c r="AF19" s="23" t="e">
        <f t="shared" si="24"/>
        <v>#VALUE!</v>
      </c>
      <c r="AG19" s="23" t="e">
        <f t="shared" si="25"/>
        <v>#VALUE!</v>
      </c>
      <c r="AH19" s="23" t="e">
        <f t="shared" si="26"/>
        <v>#VALUE!</v>
      </c>
      <c r="AI19" s="23" t="e">
        <f t="shared" si="27"/>
        <v>#VALUE!</v>
      </c>
      <c r="AJ19" s="23" t="e">
        <f t="shared" si="28"/>
        <v>#VALUE!</v>
      </c>
      <c r="AK19" s="295" t="e">
        <f t="shared" si="36"/>
        <v>#VALUE!</v>
      </c>
      <c r="AL19" s="70">
        <f t="shared" si="29"/>
        <v>14.01</v>
      </c>
      <c r="AM19" s="191">
        <f t="shared" si="37"/>
        <v>30</v>
      </c>
      <c r="AN19" s="192">
        <f t="shared" ref="AN19:AN37" si="42">AN20</f>
        <v>16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22</v>
      </c>
      <c r="B20" s="64">
        <f t="shared" si="0"/>
        <v>6.5570764348235233</v>
      </c>
      <c r="C20" s="64">
        <f t="shared" si="1"/>
        <v>7.5570764348235233</v>
      </c>
      <c r="D20" s="183">
        <f t="shared" si="2"/>
        <v>419.36496661761066</v>
      </c>
      <c r="E20" s="64">
        <f t="shared" si="3"/>
        <v>2.6066039999999995E-2</v>
      </c>
      <c r="F20" s="65">
        <f t="shared" si="4"/>
        <v>24500.676195602577</v>
      </c>
      <c r="G20" s="65">
        <f t="shared" si="5"/>
        <v>23923.444976076553</v>
      </c>
      <c r="H20" s="66">
        <f t="shared" si="6"/>
        <v>84.198440422861438</v>
      </c>
      <c r="I20" s="66" t="e">
        <f t="shared" si="7"/>
        <v>#VALUE!</v>
      </c>
      <c r="J20" s="426" t="e">
        <f t="shared" si="8"/>
        <v>#VALUE!</v>
      </c>
      <c r="K20" s="253" t="e">
        <f t="shared" si="9"/>
        <v>#VALUE!</v>
      </c>
      <c r="L20" s="271" t="e">
        <f t="shared" si="10"/>
        <v>#VALUE!</v>
      </c>
      <c r="M20" s="272" t="e">
        <f t="shared" si="11"/>
        <v>#VALUE!</v>
      </c>
      <c r="N20" s="256" t="e">
        <f t="shared" si="30"/>
        <v>#VALUE!</v>
      </c>
      <c r="O20" s="64">
        <f t="shared" si="12"/>
        <v>0.26344892761648436</v>
      </c>
      <c r="P20" s="64">
        <f t="shared" si="13"/>
        <v>0</v>
      </c>
      <c r="Q20" s="64">
        <f t="shared" si="14"/>
        <v>0</v>
      </c>
      <c r="R20" s="271" t="e">
        <f t="shared" si="31"/>
        <v>#VALUE!</v>
      </c>
      <c r="S20" s="64" t="e">
        <f t="shared" si="32"/>
        <v>#VALUE!</v>
      </c>
      <c r="T20" s="344" t="e">
        <f t="shared" si="33"/>
        <v>#VALUE!</v>
      </c>
      <c r="U20" s="279" t="e">
        <f t="shared" si="34"/>
        <v>#VALUE!</v>
      </c>
      <c r="V20" s="168" t="e">
        <f t="shared" si="15"/>
        <v>#VALUE!</v>
      </c>
      <c r="W20" s="184" t="e">
        <f t="shared" si="16"/>
        <v>#VALUE!</v>
      </c>
      <c r="X20" s="457" t="e">
        <f t="shared" si="17"/>
        <v>#VALUE!</v>
      </c>
      <c r="Y20" s="72" t="e">
        <f t="shared" si="18"/>
        <v>#VALUE!</v>
      </c>
      <c r="Z20" s="73" t="e">
        <f t="shared" si="19"/>
        <v>#VALUE!</v>
      </c>
      <c r="AA20" s="301" t="e">
        <f t="shared" si="35"/>
        <v>#VALUE!</v>
      </c>
      <c r="AB20" s="69" t="e">
        <f t="shared" si="20"/>
        <v>#VALUE!</v>
      </c>
      <c r="AC20" s="68" t="e">
        <f t="shared" si="21"/>
        <v>#VALUE!</v>
      </c>
      <c r="AD20" s="68" t="e">
        <f t="shared" si="22"/>
        <v>#VALUE!</v>
      </c>
      <c r="AE20" s="23" t="e">
        <f t="shared" si="23"/>
        <v>#VALUE!</v>
      </c>
      <c r="AF20" s="23" t="e">
        <f t="shared" si="24"/>
        <v>#VALUE!</v>
      </c>
      <c r="AG20" s="23" t="e">
        <f t="shared" si="25"/>
        <v>#VALUE!</v>
      </c>
      <c r="AH20" s="23" t="e">
        <f t="shared" si="26"/>
        <v>#VALUE!</v>
      </c>
      <c r="AI20" s="23" t="e">
        <f t="shared" si="27"/>
        <v>#VALUE!</v>
      </c>
      <c r="AJ20" s="23" t="e">
        <f t="shared" si="28"/>
        <v>#VALUE!</v>
      </c>
      <c r="AK20" s="295" t="e">
        <f t="shared" si="36"/>
        <v>#VALUE!</v>
      </c>
      <c r="AL20" s="70">
        <f t="shared" si="29"/>
        <v>14.01</v>
      </c>
      <c r="AM20" s="191">
        <f t="shared" si="37"/>
        <v>30</v>
      </c>
      <c r="AN20" s="192">
        <f t="shared" si="42"/>
        <v>16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23</v>
      </c>
      <c r="B21" s="64">
        <f t="shared" si="0"/>
        <v>6.8551253636791376</v>
      </c>
      <c r="C21" s="64">
        <f t="shared" si="1"/>
        <v>7.8551253636791376</v>
      </c>
      <c r="D21" s="183">
        <f t="shared" si="2"/>
        <v>438.42701055477477</v>
      </c>
      <c r="E21" s="64">
        <f t="shared" si="3"/>
        <v>2.7250859999999995E-2</v>
      </c>
      <c r="F21" s="65">
        <f t="shared" si="4"/>
        <v>23435.429404489423</v>
      </c>
      <c r="G21" s="65">
        <f t="shared" si="5"/>
        <v>22883.295194508006</v>
      </c>
      <c r="H21" s="66">
        <f t="shared" si="6"/>
        <v>84.63150411804115</v>
      </c>
      <c r="I21" s="66" t="e">
        <f t="shared" si="7"/>
        <v>#VALUE!</v>
      </c>
      <c r="J21" s="426" t="e">
        <f t="shared" si="8"/>
        <v>#VALUE!</v>
      </c>
      <c r="K21" s="253" t="e">
        <f t="shared" si="9"/>
        <v>#VALUE!</v>
      </c>
      <c r="L21" s="271" t="e">
        <f t="shared" si="10"/>
        <v>#VALUE!</v>
      </c>
      <c r="M21" s="272" t="e">
        <f t="shared" si="11"/>
        <v>#VALUE!</v>
      </c>
      <c r="N21" s="256" t="e">
        <f t="shared" si="30"/>
        <v>#VALUE!</v>
      </c>
      <c r="O21" s="64">
        <f t="shared" si="12"/>
        <v>0.2754238788717791</v>
      </c>
      <c r="P21" s="64">
        <f t="shared" si="13"/>
        <v>0</v>
      </c>
      <c r="Q21" s="64">
        <f t="shared" si="14"/>
        <v>0</v>
      </c>
      <c r="R21" s="271" t="e">
        <f t="shared" si="31"/>
        <v>#VALUE!</v>
      </c>
      <c r="S21" s="64" t="e">
        <f t="shared" si="32"/>
        <v>#VALUE!</v>
      </c>
      <c r="T21" s="344" t="e">
        <f t="shared" si="33"/>
        <v>#VALUE!</v>
      </c>
      <c r="U21" s="279" t="e">
        <f t="shared" si="34"/>
        <v>#VALUE!</v>
      </c>
      <c r="V21" s="168" t="e">
        <f t="shared" si="15"/>
        <v>#VALUE!</v>
      </c>
      <c r="W21" s="184" t="e">
        <f t="shared" si="16"/>
        <v>#VALUE!</v>
      </c>
      <c r="X21" s="457" t="e">
        <f t="shared" si="17"/>
        <v>#VALUE!</v>
      </c>
      <c r="Y21" s="72" t="e">
        <f t="shared" si="18"/>
        <v>#VALUE!</v>
      </c>
      <c r="Z21" s="73" t="e">
        <f t="shared" si="19"/>
        <v>#VALUE!</v>
      </c>
      <c r="AA21" s="301" t="e">
        <f t="shared" si="35"/>
        <v>#VALUE!</v>
      </c>
      <c r="AB21" s="69" t="e">
        <f t="shared" si="20"/>
        <v>#VALUE!</v>
      </c>
      <c r="AC21" s="68" t="e">
        <f t="shared" si="21"/>
        <v>#VALUE!</v>
      </c>
      <c r="AD21" s="68" t="e">
        <f t="shared" si="22"/>
        <v>#VALUE!</v>
      </c>
      <c r="AE21" s="23" t="e">
        <f t="shared" si="23"/>
        <v>#VALUE!</v>
      </c>
      <c r="AF21" s="23" t="e">
        <f t="shared" si="24"/>
        <v>#VALUE!</v>
      </c>
      <c r="AG21" s="23" t="e">
        <f t="shared" si="25"/>
        <v>#VALUE!</v>
      </c>
      <c r="AH21" s="23" t="e">
        <f t="shared" si="26"/>
        <v>#VALUE!</v>
      </c>
      <c r="AI21" s="23" t="e">
        <f t="shared" si="27"/>
        <v>#VALUE!</v>
      </c>
      <c r="AJ21" s="23" t="e">
        <f t="shared" si="28"/>
        <v>#VALUE!</v>
      </c>
      <c r="AK21" s="295" t="e">
        <f t="shared" si="36"/>
        <v>#VALUE!</v>
      </c>
      <c r="AL21" s="70">
        <f t="shared" si="29"/>
        <v>14.01</v>
      </c>
      <c r="AM21" s="191">
        <f t="shared" si="37"/>
        <v>30</v>
      </c>
      <c r="AN21" s="192">
        <f t="shared" si="42"/>
        <v>16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24</v>
      </c>
      <c r="B22" s="64">
        <f t="shared" si="0"/>
        <v>7.1531742925347528</v>
      </c>
      <c r="C22" s="64">
        <f t="shared" si="1"/>
        <v>8.1531742925347537</v>
      </c>
      <c r="D22" s="183">
        <f t="shared" si="2"/>
        <v>457.48905449193887</v>
      </c>
      <c r="E22" s="64">
        <f t="shared" si="3"/>
        <v>2.8435679999999998E-2</v>
      </c>
      <c r="F22" s="65">
        <f t="shared" si="4"/>
        <v>22458.953179302363</v>
      </c>
      <c r="G22" s="65">
        <f t="shared" si="5"/>
        <v>21929.824561403508</v>
      </c>
      <c r="H22" s="66">
        <f t="shared" si="6"/>
        <v>85.081461702008411</v>
      </c>
      <c r="I22" s="66" t="e">
        <f t="shared" si="7"/>
        <v>#VALUE!</v>
      </c>
      <c r="J22" s="426" t="e">
        <f t="shared" si="8"/>
        <v>#VALUE!</v>
      </c>
      <c r="K22" s="253" t="e">
        <f t="shared" si="9"/>
        <v>#VALUE!</v>
      </c>
      <c r="L22" s="271" t="e">
        <f t="shared" si="10"/>
        <v>#VALUE!</v>
      </c>
      <c r="M22" s="272" t="e">
        <f t="shared" si="11"/>
        <v>#VALUE!</v>
      </c>
      <c r="N22" s="256" t="e">
        <f t="shared" si="30"/>
        <v>#VALUE!</v>
      </c>
      <c r="O22" s="64">
        <f t="shared" si="12"/>
        <v>0.28739883012707385</v>
      </c>
      <c r="P22" s="64">
        <f t="shared" si="13"/>
        <v>0</v>
      </c>
      <c r="Q22" s="64">
        <f t="shared" si="14"/>
        <v>0</v>
      </c>
      <c r="R22" s="271" t="e">
        <f t="shared" si="31"/>
        <v>#VALUE!</v>
      </c>
      <c r="S22" s="64" t="e">
        <f t="shared" si="32"/>
        <v>#VALUE!</v>
      </c>
      <c r="T22" s="344" t="e">
        <f t="shared" si="33"/>
        <v>#VALUE!</v>
      </c>
      <c r="U22" s="279" t="e">
        <f t="shared" si="34"/>
        <v>#VALUE!</v>
      </c>
      <c r="V22" s="168" t="e">
        <f t="shared" si="15"/>
        <v>#VALUE!</v>
      </c>
      <c r="W22" s="184" t="e">
        <f t="shared" si="16"/>
        <v>#VALUE!</v>
      </c>
      <c r="X22" s="457" t="e">
        <f t="shared" si="17"/>
        <v>#VALUE!</v>
      </c>
      <c r="Y22" s="72" t="e">
        <f t="shared" si="18"/>
        <v>#VALUE!</v>
      </c>
      <c r="Z22" s="73" t="e">
        <f t="shared" si="19"/>
        <v>#VALUE!</v>
      </c>
      <c r="AA22" s="301" t="e">
        <f t="shared" si="35"/>
        <v>#VALUE!</v>
      </c>
      <c r="AB22" s="69" t="e">
        <f t="shared" si="20"/>
        <v>#VALUE!</v>
      </c>
      <c r="AC22" s="68" t="e">
        <f t="shared" si="21"/>
        <v>#VALUE!</v>
      </c>
      <c r="AD22" s="68" t="e">
        <f t="shared" si="22"/>
        <v>#VALUE!</v>
      </c>
      <c r="AE22" s="23" t="e">
        <f t="shared" si="23"/>
        <v>#VALUE!</v>
      </c>
      <c r="AF22" s="23" t="e">
        <f t="shared" si="24"/>
        <v>#VALUE!</v>
      </c>
      <c r="AG22" s="23" t="e">
        <f t="shared" si="25"/>
        <v>#VALUE!</v>
      </c>
      <c r="AH22" s="23" t="e">
        <f t="shared" si="26"/>
        <v>#VALUE!</v>
      </c>
      <c r="AI22" s="23" t="e">
        <f t="shared" si="27"/>
        <v>#VALUE!</v>
      </c>
      <c r="AJ22" s="23" t="e">
        <f t="shared" si="28"/>
        <v>#VALUE!</v>
      </c>
      <c r="AK22" s="295" t="e">
        <f t="shared" si="36"/>
        <v>#VALUE!</v>
      </c>
      <c r="AL22" s="70">
        <f t="shared" si="29"/>
        <v>14.01</v>
      </c>
      <c r="AM22" s="191">
        <f t="shared" si="37"/>
        <v>30</v>
      </c>
      <c r="AN22" s="192">
        <f t="shared" si="42"/>
        <v>16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25</v>
      </c>
      <c r="B23" s="52">
        <f t="shared" si="0"/>
        <v>7.4512232213903671</v>
      </c>
      <c r="C23" s="52">
        <f t="shared" si="1"/>
        <v>8.451223221390368</v>
      </c>
      <c r="D23" s="180">
        <f t="shared" si="2"/>
        <v>476.55109842910298</v>
      </c>
      <c r="E23" s="52">
        <f t="shared" si="3"/>
        <v>2.9620499999999998E-2</v>
      </c>
      <c r="F23" s="53">
        <f t="shared" si="4"/>
        <v>21560.595052130266</v>
      </c>
      <c r="G23" s="53">
        <f t="shared" si="5"/>
        <v>21052.631578947367</v>
      </c>
      <c r="H23" s="54">
        <f t="shared" si="6"/>
        <v>85.548046604507988</v>
      </c>
      <c r="I23" s="54" t="e">
        <f t="shared" si="7"/>
        <v>#VALUE!</v>
      </c>
      <c r="J23" s="425" t="e">
        <f t="shared" si="8"/>
        <v>#VALUE!</v>
      </c>
      <c r="K23" s="252" t="e">
        <f t="shared" si="9"/>
        <v>#VALUE!</v>
      </c>
      <c r="L23" s="268" t="e">
        <f t="shared" si="10"/>
        <v>#VALUE!</v>
      </c>
      <c r="M23" s="269" t="e">
        <f t="shared" si="11"/>
        <v>#VALUE!</v>
      </c>
      <c r="N23" s="270" t="e">
        <f t="shared" si="30"/>
        <v>#VALUE!</v>
      </c>
      <c r="O23" s="52">
        <f t="shared" si="12"/>
        <v>0.29937378138236859</v>
      </c>
      <c r="P23" s="52">
        <f t="shared" si="13"/>
        <v>0</v>
      </c>
      <c r="Q23" s="52">
        <f t="shared" si="14"/>
        <v>0</v>
      </c>
      <c r="R23" s="268" t="e">
        <f t="shared" si="31"/>
        <v>#VALUE!</v>
      </c>
      <c r="S23" s="52" t="e">
        <f t="shared" si="32"/>
        <v>#VALUE!</v>
      </c>
      <c r="T23" s="282" t="e">
        <f t="shared" si="33"/>
        <v>#VALUE!</v>
      </c>
      <c r="U23" s="278" t="e">
        <f t="shared" si="34"/>
        <v>#VALUE!</v>
      </c>
      <c r="V23" s="181" t="e">
        <f t="shared" si="15"/>
        <v>#VALUE!</v>
      </c>
      <c r="W23" s="182" t="e">
        <f t="shared" si="16"/>
        <v>#VALUE!</v>
      </c>
      <c r="X23" s="456" t="e">
        <f t="shared" si="17"/>
        <v>#VALUE!</v>
      </c>
      <c r="Y23" s="59" t="e">
        <f t="shared" si="18"/>
        <v>#VALUE!</v>
      </c>
      <c r="Z23" s="60" t="e">
        <f t="shared" si="19"/>
        <v>#VALUE!</v>
      </c>
      <c r="AA23" s="300" t="e">
        <f t="shared" si="35"/>
        <v>#VALUE!</v>
      </c>
      <c r="AB23" s="56" t="e">
        <f t="shared" si="20"/>
        <v>#VALUE!</v>
      </c>
      <c r="AC23" s="55" t="e">
        <f t="shared" si="21"/>
        <v>#VALUE!</v>
      </c>
      <c r="AD23" s="55" t="e">
        <f t="shared" si="22"/>
        <v>#VALUE!</v>
      </c>
      <c r="AE23" s="61" t="e">
        <f t="shared" si="23"/>
        <v>#VALUE!</v>
      </c>
      <c r="AF23" s="61" t="e">
        <f t="shared" si="24"/>
        <v>#VALUE!</v>
      </c>
      <c r="AG23" s="61" t="e">
        <f t="shared" si="25"/>
        <v>#VALUE!</v>
      </c>
      <c r="AH23" s="61" t="e">
        <f t="shared" si="26"/>
        <v>#VALUE!</v>
      </c>
      <c r="AI23" s="61" t="e">
        <f t="shared" si="27"/>
        <v>#VALUE!</v>
      </c>
      <c r="AJ23" s="61" t="e">
        <f t="shared" si="28"/>
        <v>#VALUE!</v>
      </c>
      <c r="AK23" s="306" t="e">
        <f t="shared" si="36"/>
        <v>#VALUE!</v>
      </c>
      <c r="AL23" s="57">
        <f t="shared" si="29"/>
        <v>14.01</v>
      </c>
      <c r="AM23" s="190">
        <f t="shared" si="37"/>
        <v>30</v>
      </c>
      <c r="AN23" s="193">
        <f t="shared" si="42"/>
        <v>16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26</v>
      </c>
      <c r="B24" s="64">
        <f t="shared" si="0"/>
        <v>7.7492721502459823</v>
      </c>
      <c r="C24" s="64">
        <f t="shared" si="1"/>
        <v>8.7492721502459823</v>
      </c>
      <c r="D24" s="183">
        <f t="shared" si="2"/>
        <v>495.61314236626708</v>
      </c>
      <c r="E24" s="64">
        <f t="shared" si="3"/>
        <v>3.0805319999999997E-2</v>
      </c>
      <c r="F24" s="65">
        <f t="shared" si="4"/>
        <v>20731.341396279106</v>
      </c>
      <c r="G24" s="65">
        <f t="shared" si="5"/>
        <v>20242.914979757083</v>
      </c>
      <c r="H24" s="66">
        <f t="shared" si="6"/>
        <v>86.030988293592529</v>
      </c>
      <c r="I24" s="66" t="e">
        <f t="shared" si="7"/>
        <v>#VALUE!</v>
      </c>
      <c r="J24" s="426" t="e">
        <f t="shared" si="8"/>
        <v>#VALUE!</v>
      </c>
      <c r="K24" s="253" t="e">
        <f t="shared" si="9"/>
        <v>#VALUE!</v>
      </c>
      <c r="L24" s="271" t="e">
        <f t="shared" si="10"/>
        <v>#VALUE!</v>
      </c>
      <c r="M24" s="272" t="e">
        <f t="shared" si="11"/>
        <v>#VALUE!</v>
      </c>
      <c r="N24" s="256" t="e">
        <f>-10*LOG10(1-2*$L$10*10^(-$C24/10)*$AB$5*SQRT(2*ER*($AD24*(ER-1)+ER+1))/($AD24*(ER-1)))</f>
        <v>#VALUE!</v>
      </c>
      <c r="O24" s="64">
        <f t="shared" si="12"/>
        <v>0.31134873263766333</v>
      </c>
      <c r="P24" s="64">
        <f t="shared" si="13"/>
        <v>0</v>
      </c>
      <c r="Q24" s="64">
        <f t="shared" si="14"/>
        <v>0</v>
      </c>
      <c r="R24" s="271" t="e">
        <f t="shared" ref="R24:R38" si="44">10*LOG10(1/SQRT(1-AK24*(Q/AA24)^2))</f>
        <v>#VALUE!</v>
      </c>
      <c r="S24" s="64" t="e">
        <f t="shared" ref="S24:S38" si="45">-10*LOG10(AA24*SQRT(1-Q*Q*((SD_blw^2+AK24)/AA24^2+Vmn+(P24*P24))))-$T$13-J24-L24-Q24-N24-R24-Pmn</f>
        <v>#VALUE!</v>
      </c>
      <c r="T24" s="344" t="e">
        <f t="shared" si="33"/>
        <v>#VALUE!</v>
      </c>
      <c r="U24" s="279" t="e">
        <f t="shared" si="34"/>
        <v>#VALUE!</v>
      </c>
      <c r="V24" s="168" t="e">
        <f t="shared" si="15"/>
        <v>#VALUE!</v>
      </c>
      <c r="W24" s="184" t="e">
        <f t="shared" si="16"/>
        <v>#VALUE!</v>
      </c>
      <c r="X24" s="457" t="e">
        <f t="shared" si="17"/>
        <v>#VALUE!</v>
      </c>
      <c r="Y24" s="72" t="e">
        <f t="shared" si="18"/>
        <v>#VALUE!</v>
      </c>
      <c r="Z24" s="73" t="e">
        <f t="shared" si="19"/>
        <v>#VALUE!</v>
      </c>
      <c r="AA24" s="301" t="e">
        <f>$AD24*(1-2*$L$10*10^(-$C24/10)*$AB$5*SQRT(2*ER*($AD24*(ER-1)+ER+1))/($AD24*(ER-1)))</f>
        <v>#VALUE!</v>
      </c>
      <c r="AB24" s="69" t="e">
        <f t="shared" si="20"/>
        <v>#VALUE!</v>
      </c>
      <c r="AC24" s="68" t="e">
        <f t="shared" si="21"/>
        <v>#VALUE!</v>
      </c>
      <c r="AD24" s="68" t="e">
        <f t="shared" si="22"/>
        <v>#VALUE!</v>
      </c>
      <c r="AE24" s="23" t="e">
        <f t="shared" si="23"/>
        <v>#VALUE!</v>
      </c>
      <c r="AF24" s="23" t="e">
        <f t="shared" si="24"/>
        <v>#VALUE!</v>
      </c>
      <c r="AG24" s="23" t="e">
        <f t="shared" si="25"/>
        <v>#VALUE!</v>
      </c>
      <c r="AH24" s="23" t="e">
        <f t="shared" si="26"/>
        <v>#VALUE!</v>
      </c>
      <c r="AI24" s="23" t="e">
        <f t="shared" si="27"/>
        <v>#VALUE!</v>
      </c>
      <c r="AJ24" s="23" t="e">
        <f t="shared" si="28"/>
        <v>#VALUE!</v>
      </c>
      <c r="AK24" s="295" t="e">
        <f t="shared" ref="AK24:AK38" si="46">kRIN*10^6*$AK$7*$AK$7/(SQRT((1/F24)^2+(1/G24)^2+0.477*(1/$T$5)^2))*10^($G$4/10)</f>
        <v>#VALUE!</v>
      </c>
      <c r="AL24" s="70">
        <f t="shared" si="29"/>
        <v>14.01</v>
      </c>
      <c r="AM24" s="191">
        <f t="shared" si="37"/>
        <v>30</v>
      </c>
      <c r="AN24" s="192">
        <f t="shared" si="42"/>
        <v>16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27</v>
      </c>
      <c r="B25" s="64">
        <f t="shared" si="0"/>
        <v>8.0473210791015966</v>
      </c>
      <c r="C25" s="64">
        <f t="shared" si="1"/>
        <v>9.0473210791015966</v>
      </c>
      <c r="D25" s="183">
        <f t="shared" si="2"/>
        <v>514.67518630343125</v>
      </c>
      <c r="E25" s="64">
        <f t="shared" si="3"/>
        <v>3.1990139999999993E-2</v>
      </c>
      <c r="F25" s="65">
        <f t="shared" si="4"/>
        <v>19963.513937157655</v>
      </c>
      <c r="G25" s="65">
        <f t="shared" si="5"/>
        <v>19493.177387914227</v>
      </c>
      <c r="H25" s="66">
        <f t="shared" si="6"/>
        <v>86.530012897987476</v>
      </c>
      <c r="I25" s="66" t="e">
        <f t="shared" si="7"/>
        <v>#VALUE!</v>
      </c>
      <c r="J25" s="426" t="e">
        <f t="shared" si="8"/>
        <v>#VALUE!</v>
      </c>
      <c r="K25" s="253" t="e">
        <f t="shared" si="9"/>
        <v>#VALUE!</v>
      </c>
      <c r="L25" s="271" t="e">
        <f t="shared" si="10"/>
        <v>#VALUE!</v>
      </c>
      <c r="M25" s="272" t="e">
        <f t="shared" si="11"/>
        <v>#VALUE!</v>
      </c>
      <c r="N25" s="256" t="e">
        <f>-10*LOG10(1-2*$L$10*10^(-$C25/10)*$AB$5*SQRT(2*ER*($AD25*(ER-1)+ER+1))/($AD25*(ER-1)))</f>
        <v>#VALUE!</v>
      </c>
      <c r="O25" s="64">
        <f t="shared" si="12"/>
        <v>0.32332368389295812</v>
      </c>
      <c r="P25" s="64">
        <f t="shared" si="13"/>
        <v>0</v>
      </c>
      <c r="Q25" s="64">
        <f t="shared" si="14"/>
        <v>0</v>
      </c>
      <c r="R25" s="271" t="e">
        <f t="shared" si="44"/>
        <v>#VALUE!</v>
      </c>
      <c r="S25" s="64" t="e">
        <f t="shared" si="45"/>
        <v>#VALUE!</v>
      </c>
      <c r="T25" s="344" t="e">
        <f t="shared" si="33"/>
        <v>#VALUE!</v>
      </c>
      <c r="U25" s="279" t="e">
        <f t="shared" si="34"/>
        <v>#VALUE!</v>
      </c>
      <c r="V25" s="168" t="e">
        <f t="shared" si="15"/>
        <v>#VALUE!</v>
      </c>
      <c r="W25" s="184" t="e">
        <f t="shared" si="16"/>
        <v>#VALUE!</v>
      </c>
      <c r="X25" s="457" t="e">
        <f t="shared" si="17"/>
        <v>#VALUE!</v>
      </c>
      <c r="Y25" s="72" t="e">
        <f t="shared" si="18"/>
        <v>#VALUE!</v>
      </c>
      <c r="Z25" s="73" t="e">
        <f t="shared" si="19"/>
        <v>#VALUE!</v>
      </c>
      <c r="AA25" s="301" t="e">
        <f>$AD25*(1-2*$L$10*10^(-$C25/10)*$AB$5*SQRT(2*ER*($AD25*(ER-1)+ER+1))/($AD25*(ER-1)))</f>
        <v>#VALUE!</v>
      </c>
      <c r="AB25" s="69" t="e">
        <f t="shared" si="20"/>
        <v>#VALUE!</v>
      </c>
      <c r="AC25" s="68" t="e">
        <f t="shared" si="21"/>
        <v>#VALUE!</v>
      </c>
      <c r="AD25" s="68" t="e">
        <f t="shared" si="22"/>
        <v>#VALUE!</v>
      </c>
      <c r="AE25" s="23" t="e">
        <f t="shared" si="23"/>
        <v>#VALUE!</v>
      </c>
      <c r="AF25" s="23" t="e">
        <f t="shared" si="24"/>
        <v>#VALUE!</v>
      </c>
      <c r="AG25" s="23" t="e">
        <f t="shared" si="25"/>
        <v>#VALUE!</v>
      </c>
      <c r="AH25" s="23" t="e">
        <f t="shared" si="26"/>
        <v>#VALUE!</v>
      </c>
      <c r="AI25" s="23" t="e">
        <f t="shared" si="27"/>
        <v>#VALUE!</v>
      </c>
      <c r="AJ25" s="23" t="e">
        <f t="shared" si="28"/>
        <v>#VALUE!</v>
      </c>
      <c r="AK25" s="295" t="e">
        <f t="shared" si="46"/>
        <v>#VALUE!</v>
      </c>
      <c r="AL25" s="70">
        <f t="shared" si="29"/>
        <v>14.01</v>
      </c>
      <c r="AM25" s="191">
        <f t="shared" si="37"/>
        <v>30</v>
      </c>
      <c r="AN25" s="192">
        <f t="shared" si="42"/>
        <v>16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28</v>
      </c>
      <c r="B26" s="64">
        <f t="shared" si="0"/>
        <v>8.3453700079572108</v>
      </c>
      <c r="C26" s="64">
        <f t="shared" si="1"/>
        <v>9.3453700079572108</v>
      </c>
      <c r="D26" s="183">
        <f t="shared" si="2"/>
        <v>533.73723024059541</v>
      </c>
      <c r="E26" s="64">
        <f t="shared" si="3"/>
        <v>3.3174959999999996E-2</v>
      </c>
      <c r="F26" s="65">
        <f t="shared" si="4"/>
        <v>19250.531296544883</v>
      </c>
      <c r="G26" s="65">
        <f t="shared" si="5"/>
        <v>18796.992481203004</v>
      </c>
      <c r="H26" s="66">
        <f t="shared" si="6"/>
        <v>87.044843810003712</v>
      </c>
      <c r="I26" s="66" t="e">
        <f t="shared" si="7"/>
        <v>#VALUE!</v>
      </c>
      <c r="J26" s="426" t="e">
        <f t="shared" si="8"/>
        <v>#VALUE!</v>
      </c>
      <c r="K26" s="253" t="e">
        <f t="shared" si="9"/>
        <v>#VALUE!</v>
      </c>
      <c r="L26" s="271" t="e">
        <f t="shared" si="10"/>
        <v>#VALUE!</v>
      </c>
      <c r="M26" s="272" t="e">
        <f t="shared" si="11"/>
        <v>#VALUE!</v>
      </c>
      <c r="N26" s="256" t="e">
        <f t="shared" ref="N26:N38" si="47">-10*LOG10(1-2*$L$10*10^(-$C26/10)*$AB$5*SQRT(2*ER*($AD26*(ER-1)+ER+1))/($AD26*(ER-1)))</f>
        <v>#VALUE!</v>
      </c>
      <c r="O26" s="64">
        <f t="shared" si="12"/>
        <v>0.33529863514825281</v>
      </c>
      <c r="P26" s="64">
        <f t="shared" si="13"/>
        <v>0</v>
      </c>
      <c r="Q26" s="64">
        <f t="shared" si="14"/>
        <v>0</v>
      </c>
      <c r="R26" s="271" t="e">
        <f t="shared" si="44"/>
        <v>#VALUE!</v>
      </c>
      <c r="S26" s="64" t="e">
        <f t="shared" si="45"/>
        <v>#VALUE!</v>
      </c>
      <c r="T26" s="344" t="e">
        <f t="shared" si="33"/>
        <v>#VALUE!</v>
      </c>
      <c r="U26" s="279" t="e">
        <f t="shared" si="34"/>
        <v>#VALUE!</v>
      </c>
      <c r="V26" s="168" t="e">
        <f t="shared" si="15"/>
        <v>#VALUE!</v>
      </c>
      <c r="W26" s="184" t="e">
        <f t="shared" si="16"/>
        <v>#VALUE!</v>
      </c>
      <c r="X26" s="457" t="e">
        <f t="shared" si="17"/>
        <v>#VALUE!</v>
      </c>
      <c r="Y26" s="72" t="e">
        <f t="shared" si="18"/>
        <v>#VALUE!</v>
      </c>
      <c r="Z26" s="73" t="e">
        <f t="shared" si="19"/>
        <v>#VALUE!</v>
      </c>
      <c r="AA26" s="301" t="e">
        <f t="shared" ref="AA26:AA38" si="48">$AD26*(1-2*$L$10*10^(-$C26/10)*$AB$5*SQRT(2*ER*($AD26*(ER-1)+ER+1))/($AD26*(ER-1)))</f>
        <v>#VALUE!</v>
      </c>
      <c r="AB26" s="69" t="e">
        <f t="shared" si="20"/>
        <v>#VALUE!</v>
      </c>
      <c r="AC26" s="68" t="e">
        <f t="shared" si="21"/>
        <v>#VALUE!</v>
      </c>
      <c r="AD26" s="68" t="e">
        <f t="shared" si="22"/>
        <v>#VALUE!</v>
      </c>
      <c r="AE26" s="23" t="e">
        <f t="shared" si="23"/>
        <v>#VALUE!</v>
      </c>
      <c r="AF26" s="23" t="e">
        <f t="shared" si="24"/>
        <v>#VALUE!</v>
      </c>
      <c r="AG26" s="23" t="e">
        <f t="shared" si="25"/>
        <v>#VALUE!</v>
      </c>
      <c r="AH26" s="23" t="e">
        <f t="shared" si="26"/>
        <v>#VALUE!</v>
      </c>
      <c r="AI26" s="23" t="e">
        <f t="shared" si="27"/>
        <v>#VALUE!</v>
      </c>
      <c r="AJ26" s="23" t="e">
        <f t="shared" si="28"/>
        <v>#VALUE!</v>
      </c>
      <c r="AK26" s="295" t="e">
        <f t="shared" si="46"/>
        <v>#VALUE!</v>
      </c>
      <c r="AL26" s="70">
        <f t="shared" si="29"/>
        <v>14.01</v>
      </c>
      <c r="AM26" s="191">
        <f t="shared" si="37"/>
        <v>30</v>
      </c>
      <c r="AN26" s="192">
        <f t="shared" si="42"/>
        <v>16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29</v>
      </c>
      <c r="B27" s="64">
        <f t="shared" si="0"/>
        <v>8.6434189368128251</v>
      </c>
      <c r="C27" s="64">
        <f t="shared" si="1"/>
        <v>9.6434189368128251</v>
      </c>
      <c r="D27" s="183">
        <f t="shared" si="2"/>
        <v>552.79927417775946</v>
      </c>
      <c r="E27" s="64">
        <f t="shared" si="3"/>
        <v>3.4359779999999993E-2</v>
      </c>
      <c r="F27" s="65">
        <f t="shared" si="4"/>
        <v>18586.719872526097</v>
      </c>
      <c r="G27" s="65">
        <f t="shared" si="5"/>
        <v>18148.820326678764</v>
      </c>
      <c r="H27" s="66">
        <f t="shared" si="6"/>
        <v>87.575202267071262</v>
      </c>
      <c r="I27" s="66" t="e">
        <f t="shared" si="7"/>
        <v>#VALUE!</v>
      </c>
      <c r="J27" s="426" t="e">
        <f t="shared" si="8"/>
        <v>#VALUE!</v>
      </c>
      <c r="K27" s="253" t="e">
        <f t="shared" si="9"/>
        <v>#VALUE!</v>
      </c>
      <c r="L27" s="271" t="e">
        <f t="shared" si="10"/>
        <v>#VALUE!</v>
      </c>
      <c r="M27" s="272" t="e">
        <f t="shared" si="11"/>
        <v>#VALUE!</v>
      </c>
      <c r="N27" s="256" t="e">
        <f t="shared" si="47"/>
        <v>#VALUE!</v>
      </c>
      <c r="O27" s="64">
        <f t="shared" si="12"/>
        <v>0.34727358640354755</v>
      </c>
      <c r="P27" s="64">
        <f t="shared" si="13"/>
        <v>0</v>
      </c>
      <c r="Q27" s="64">
        <f t="shared" si="14"/>
        <v>0</v>
      </c>
      <c r="R27" s="271" t="e">
        <f t="shared" si="44"/>
        <v>#VALUE!</v>
      </c>
      <c r="S27" s="64" t="e">
        <f t="shared" si="45"/>
        <v>#VALUE!</v>
      </c>
      <c r="T27" s="344" t="e">
        <f t="shared" si="33"/>
        <v>#VALUE!</v>
      </c>
      <c r="U27" s="279" t="e">
        <f t="shared" si="34"/>
        <v>#VALUE!</v>
      </c>
      <c r="V27" s="168" t="e">
        <f t="shared" si="15"/>
        <v>#VALUE!</v>
      </c>
      <c r="W27" s="184" t="e">
        <f t="shared" si="16"/>
        <v>#VALUE!</v>
      </c>
      <c r="X27" s="457" t="e">
        <f t="shared" si="17"/>
        <v>#VALUE!</v>
      </c>
      <c r="Y27" s="72" t="e">
        <f t="shared" si="18"/>
        <v>#VALUE!</v>
      </c>
      <c r="Z27" s="73" t="e">
        <f t="shared" si="19"/>
        <v>#VALUE!</v>
      </c>
      <c r="AA27" s="301" t="e">
        <f t="shared" si="48"/>
        <v>#VALUE!</v>
      </c>
      <c r="AB27" s="69" t="e">
        <f t="shared" si="20"/>
        <v>#VALUE!</v>
      </c>
      <c r="AC27" s="68" t="e">
        <f t="shared" si="21"/>
        <v>#VALUE!</v>
      </c>
      <c r="AD27" s="68" t="e">
        <f t="shared" si="22"/>
        <v>#VALUE!</v>
      </c>
      <c r="AE27" s="23" t="e">
        <f t="shared" si="23"/>
        <v>#VALUE!</v>
      </c>
      <c r="AF27" s="23" t="e">
        <f t="shared" si="24"/>
        <v>#VALUE!</v>
      </c>
      <c r="AG27" s="23" t="e">
        <f t="shared" si="25"/>
        <v>#VALUE!</v>
      </c>
      <c r="AH27" s="23" t="e">
        <f t="shared" si="26"/>
        <v>#VALUE!</v>
      </c>
      <c r="AI27" s="23" t="e">
        <f t="shared" si="27"/>
        <v>#VALUE!</v>
      </c>
      <c r="AJ27" s="23" t="e">
        <f t="shared" si="28"/>
        <v>#VALUE!</v>
      </c>
      <c r="AK27" s="295" t="e">
        <f t="shared" si="46"/>
        <v>#VALUE!</v>
      </c>
      <c r="AL27" s="70">
        <f t="shared" si="29"/>
        <v>14.01</v>
      </c>
      <c r="AM27" s="191">
        <f t="shared" si="37"/>
        <v>30</v>
      </c>
      <c r="AN27" s="192">
        <f t="shared" si="42"/>
        <v>16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30</v>
      </c>
      <c r="B28" s="52">
        <f t="shared" si="0"/>
        <v>8.9414678656684394</v>
      </c>
      <c r="C28" s="52">
        <f t="shared" si="1"/>
        <v>9.9414678656684394</v>
      </c>
      <c r="D28" s="180">
        <f t="shared" si="2"/>
        <v>571.86131811492362</v>
      </c>
      <c r="E28" s="52">
        <f t="shared" si="3"/>
        <v>3.5544599999999996E-2</v>
      </c>
      <c r="F28" s="53">
        <f t="shared" si="4"/>
        <v>17967.162543441889</v>
      </c>
      <c r="G28" s="53">
        <f t="shared" si="5"/>
        <v>17543.859649122805</v>
      </c>
      <c r="H28" s="54">
        <f t="shared" si="6"/>
        <v>88.120807910262499</v>
      </c>
      <c r="I28" s="54" t="e">
        <f t="shared" si="7"/>
        <v>#VALUE!</v>
      </c>
      <c r="J28" s="425" t="e">
        <f t="shared" si="8"/>
        <v>#VALUE!</v>
      </c>
      <c r="K28" s="252" t="e">
        <f t="shared" si="9"/>
        <v>#VALUE!</v>
      </c>
      <c r="L28" s="268" t="e">
        <f t="shared" si="10"/>
        <v>#VALUE!</v>
      </c>
      <c r="M28" s="269" t="e">
        <f t="shared" si="11"/>
        <v>#VALUE!</v>
      </c>
      <c r="N28" s="270" t="e">
        <f t="shared" si="47"/>
        <v>#VALUE!</v>
      </c>
      <c r="O28" s="52">
        <f t="shared" si="12"/>
        <v>0.35924853765884229</v>
      </c>
      <c r="P28" s="52">
        <f t="shared" si="13"/>
        <v>0</v>
      </c>
      <c r="Q28" s="52">
        <f t="shared" si="14"/>
        <v>0</v>
      </c>
      <c r="R28" s="268" t="e">
        <f t="shared" si="44"/>
        <v>#VALUE!</v>
      </c>
      <c r="S28" s="52" t="e">
        <f t="shared" si="45"/>
        <v>#VALUE!</v>
      </c>
      <c r="T28" s="282" t="e">
        <f t="shared" si="33"/>
        <v>#VALUE!</v>
      </c>
      <c r="U28" s="278" t="e">
        <f t="shared" si="34"/>
        <v>#VALUE!</v>
      </c>
      <c r="V28" s="181" t="e">
        <f t="shared" si="15"/>
        <v>#VALUE!</v>
      </c>
      <c r="W28" s="182" t="e">
        <f t="shared" si="16"/>
        <v>#VALUE!</v>
      </c>
      <c r="X28" s="456" t="e">
        <f t="shared" si="17"/>
        <v>#VALUE!</v>
      </c>
      <c r="Y28" s="59" t="e">
        <f t="shared" si="18"/>
        <v>#VALUE!</v>
      </c>
      <c r="Z28" s="60" t="e">
        <f t="shared" si="19"/>
        <v>#VALUE!</v>
      </c>
      <c r="AA28" s="300" t="e">
        <f t="shared" si="48"/>
        <v>#VALUE!</v>
      </c>
      <c r="AB28" s="56" t="e">
        <f t="shared" si="20"/>
        <v>#VALUE!</v>
      </c>
      <c r="AC28" s="55" t="e">
        <f t="shared" si="21"/>
        <v>#VALUE!</v>
      </c>
      <c r="AD28" s="55" t="e">
        <f t="shared" si="22"/>
        <v>#VALUE!</v>
      </c>
      <c r="AE28" s="61" t="e">
        <f t="shared" si="23"/>
        <v>#VALUE!</v>
      </c>
      <c r="AF28" s="61" t="e">
        <f t="shared" si="24"/>
        <v>#VALUE!</v>
      </c>
      <c r="AG28" s="61" t="e">
        <f t="shared" si="25"/>
        <v>#VALUE!</v>
      </c>
      <c r="AH28" s="61" t="e">
        <f t="shared" si="26"/>
        <v>#VALUE!</v>
      </c>
      <c r="AI28" s="61" t="e">
        <f t="shared" si="27"/>
        <v>#VALUE!</v>
      </c>
      <c r="AJ28" s="61" t="e">
        <f t="shared" si="28"/>
        <v>#VALUE!</v>
      </c>
      <c r="AK28" s="306" t="e">
        <f t="shared" si="46"/>
        <v>#VALUE!</v>
      </c>
      <c r="AL28" s="57">
        <f t="shared" si="29"/>
        <v>14.01</v>
      </c>
      <c r="AM28" s="190">
        <f t="shared" si="37"/>
        <v>30</v>
      </c>
      <c r="AN28" s="193">
        <f t="shared" si="42"/>
        <v>16</v>
      </c>
      <c r="AO28" s="58" t="e">
        <f t="shared" si="38"/>
        <v>#VALUE!</v>
      </c>
      <c r="AP28" s="350" t="e">
        <f t="shared" si="39"/>
        <v>#VALUE!</v>
      </c>
      <c r="AQ28" s="351">
        <f>IF($A28=$L$3,B_1*Tb_eff*(1+$G$9)/(SQRT(8)*SQRT($H28^2+$AG$8^2)),0)</f>
        <v>0.83742959509737036</v>
      </c>
      <c r="AR28" s="351">
        <f>IF($A28=$L$3,B_1*Tb_eff*(1-$G$9)/(SQRT(8)*SQRT($H28^2+$AG$8^2)),0)</f>
        <v>0.83742959509737036</v>
      </c>
    </row>
    <row r="29" spans="1:44" s="74" customFormat="1" ht="15" customHeight="1" x14ac:dyDescent="0.2">
      <c r="A29" s="63">
        <f t="shared" si="41"/>
        <v>31</v>
      </c>
      <c r="B29" s="64">
        <f t="shared" si="0"/>
        <v>9.2395167945240555</v>
      </c>
      <c r="C29" s="64">
        <f t="shared" si="1"/>
        <v>10.239516794524055</v>
      </c>
      <c r="D29" s="183">
        <f t="shared" si="2"/>
        <v>590.92336205208767</v>
      </c>
      <c r="E29" s="64">
        <f t="shared" si="3"/>
        <v>3.6729419999999992E-2</v>
      </c>
      <c r="F29" s="65">
        <f t="shared" si="4"/>
        <v>17387.576654943765</v>
      </c>
      <c r="G29" s="65">
        <f t="shared" si="5"/>
        <v>16977.92869269949</v>
      </c>
      <c r="H29" s="66">
        <f t="shared" si="6"/>
        <v>88.681379318460998</v>
      </c>
      <c r="I29" s="66" t="e">
        <f t="shared" si="7"/>
        <v>#VALUE!</v>
      </c>
      <c r="J29" s="426" t="e">
        <f t="shared" si="8"/>
        <v>#VALUE!</v>
      </c>
      <c r="K29" s="253" t="e">
        <f t="shared" si="9"/>
        <v>#VALUE!</v>
      </c>
      <c r="L29" s="271" t="e">
        <f t="shared" si="10"/>
        <v>#VALUE!</v>
      </c>
      <c r="M29" s="272" t="e">
        <f t="shared" si="11"/>
        <v>#VALUE!</v>
      </c>
      <c r="N29" s="256" t="e">
        <f t="shared" si="47"/>
        <v>#VALUE!</v>
      </c>
      <c r="O29" s="64">
        <f t="shared" si="12"/>
        <v>0.37122348891413703</v>
      </c>
      <c r="P29" s="64">
        <f t="shared" si="13"/>
        <v>0</v>
      </c>
      <c r="Q29" s="64">
        <f t="shared" si="14"/>
        <v>0</v>
      </c>
      <c r="R29" s="271" t="e">
        <f t="shared" si="44"/>
        <v>#VALUE!</v>
      </c>
      <c r="S29" s="64" t="e">
        <f t="shared" si="45"/>
        <v>#VALUE!</v>
      </c>
      <c r="T29" s="344" t="e">
        <f t="shared" si="33"/>
        <v>#VALUE!</v>
      </c>
      <c r="U29" s="279" t="e">
        <f t="shared" si="34"/>
        <v>#VALUE!</v>
      </c>
      <c r="V29" s="168" t="e">
        <f t="shared" si="15"/>
        <v>#VALUE!</v>
      </c>
      <c r="W29" s="184" t="e">
        <f t="shared" si="16"/>
        <v>#VALUE!</v>
      </c>
      <c r="X29" s="457" t="e">
        <f t="shared" si="17"/>
        <v>#VALUE!</v>
      </c>
      <c r="Y29" s="72" t="e">
        <f t="shared" si="18"/>
        <v>#VALUE!</v>
      </c>
      <c r="Z29" s="73" t="e">
        <f t="shared" si="19"/>
        <v>#VALUE!</v>
      </c>
      <c r="AA29" s="301" t="e">
        <f t="shared" si="48"/>
        <v>#VALUE!</v>
      </c>
      <c r="AB29" s="69" t="e">
        <f t="shared" si="20"/>
        <v>#VALUE!</v>
      </c>
      <c r="AC29" s="68" t="e">
        <f t="shared" si="21"/>
        <v>#VALUE!</v>
      </c>
      <c r="AD29" s="68" t="e">
        <f t="shared" si="22"/>
        <v>#VALUE!</v>
      </c>
      <c r="AE29" s="23" t="e">
        <f t="shared" si="23"/>
        <v>#VALUE!</v>
      </c>
      <c r="AF29" s="23" t="e">
        <f t="shared" si="24"/>
        <v>#VALUE!</v>
      </c>
      <c r="AG29" s="23" t="e">
        <f t="shared" si="25"/>
        <v>#VALUE!</v>
      </c>
      <c r="AH29" s="23" t="e">
        <f t="shared" si="26"/>
        <v>#VALUE!</v>
      </c>
      <c r="AI29" s="23" t="e">
        <f t="shared" si="27"/>
        <v>#VALUE!</v>
      </c>
      <c r="AJ29" s="23" t="e">
        <f t="shared" si="28"/>
        <v>#VALUE!</v>
      </c>
      <c r="AK29" s="295" t="e">
        <f t="shared" si="46"/>
        <v>#VALUE!</v>
      </c>
      <c r="AL29" s="70">
        <f t="shared" si="29"/>
        <v>14.01</v>
      </c>
      <c r="AM29" s="191">
        <f t="shared" si="37"/>
        <v>30</v>
      </c>
      <c r="AN29" s="192">
        <f t="shared" si="42"/>
        <v>16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32</v>
      </c>
      <c r="B30" s="64">
        <f t="shared" si="0"/>
        <v>9.5375657233796698</v>
      </c>
      <c r="C30" s="64">
        <f t="shared" si="1"/>
        <v>10.53756572337967</v>
      </c>
      <c r="D30" s="183">
        <f t="shared" si="2"/>
        <v>609.98540598925183</v>
      </c>
      <c r="E30" s="64">
        <f t="shared" si="3"/>
        <v>3.7914239999999995E-2</v>
      </c>
      <c r="F30" s="65">
        <f t="shared" si="4"/>
        <v>16844.214884476773</v>
      </c>
      <c r="G30" s="65">
        <f t="shared" si="5"/>
        <v>16447.36842105263</v>
      </c>
      <c r="H30" s="66">
        <f t="shared" si="6"/>
        <v>89.256634517107898</v>
      </c>
      <c r="I30" s="66" t="e">
        <f t="shared" si="7"/>
        <v>#VALUE!</v>
      </c>
      <c r="J30" s="426" t="e">
        <f t="shared" si="8"/>
        <v>#VALUE!</v>
      </c>
      <c r="K30" s="253" t="e">
        <f t="shared" si="9"/>
        <v>#VALUE!</v>
      </c>
      <c r="L30" s="271" t="e">
        <f t="shared" si="10"/>
        <v>#VALUE!</v>
      </c>
      <c r="M30" s="272" t="e">
        <f t="shared" si="11"/>
        <v>#VALUE!</v>
      </c>
      <c r="N30" s="256" t="e">
        <f t="shared" si="47"/>
        <v>#VALUE!</v>
      </c>
      <c r="O30" s="64">
        <f t="shared" si="12"/>
        <v>0.38319844016943183</v>
      </c>
      <c r="P30" s="64">
        <f t="shared" si="13"/>
        <v>0</v>
      </c>
      <c r="Q30" s="64">
        <f t="shared" si="14"/>
        <v>0</v>
      </c>
      <c r="R30" s="271" t="e">
        <f t="shared" si="44"/>
        <v>#VALUE!</v>
      </c>
      <c r="S30" s="64" t="e">
        <f t="shared" si="45"/>
        <v>#VALUE!</v>
      </c>
      <c r="T30" s="344" t="e">
        <f t="shared" si="33"/>
        <v>#VALUE!</v>
      </c>
      <c r="U30" s="279" t="e">
        <f t="shared" si="34"/>
        <v>#VALUE!</v>
      </c>
      <c r="V30" s="168" t="e">
        <f t="shared" si="15"/>
        <v>#VALUE!</v>
      </c>
      <c r="W30" s="184" t="e">
        <f t="shared" si="16"/>
        <v>#VALUE!</v>
      </c>
      <c r="X30" s="457" t="e">
        <f t="shared" si="17"/>
        <v>#VALUE!</v>
      </c>
      <c r="Y30" s="72" t="e">
        <f t="shared" si="18"/>
        <v>#VALUE!</v>
      </c>
      <c r="Z30" s="73" t="e">
        <f t="shared" si="19"/>
        <v>#VALUE!</v>
      </c>
      <c r="AA30" s="301" t="e">
        <f t="shared" si="48"/>
        <v>#VALUE!</v>
      </c>
      <c r="AB30" s="69" t="e">
        <f t="shared" si="20"/>
        <v>#VALUE!</v>
      </c>
      <c r="AC30" s="68" t="e">
        <f t="shared" si="21"/>
        <v>#VALUE!</v>
      </c>
      <c r="AD30" s="68" t="e">
        <f t="shared" si="22"/>
        <v>#VALUE!</v>
      </c>
      <c r="AE30" s="23" t="e">
        <f t="shared" si="23"/>
        <v>#VALUE!</v>
      </c>
      <c r="AF30" s="23" t="e">
        <f t="shared" si="24"/>
        <v>#VALUE!</v>
      </c>
      <c r="AG30" s="23" t="e">
        <f t="shared" si="25"/>
        <v>#VALUE!</v>
      </c>
      <c r="AH30" s="23" t="e">
        <f t="shared" si="26"/>
        <v>#VALUE!</v>
      </c>
      <c r="AI30" s="23" t="e">
        <f t="shared" si="27"/>
        <v>#VALUE!</v>
      </c>
      <c r="AJ30" s="23" t="e">
        <f t="shared" si="28"/>
        <v>#VALUE!</v>
      </c>
      <c r="AK30" s="295" t="e">
        <f t="shared" si="46"/>
        <v>#VALUE!</v>
      </c>
      <c r="AL30" s="70">
        <f t="shared" si="29"/>
        <v>14.01</v>
      </c>
      <c r="AM30" s="191">
        <f t="shared" si="37"/>
        <v>30</v>
      </c>
      <c r="AN30" s="192">
        <f t="shared" si="42"/>
        <v>16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33</v>
      </c>
      <c r="B31" s="64">
        <f t="shared" si="0"/>
        <v>9.8356146522352841</v>
      </c>
      <c r="C31" s="64">
        <f t="shared" si="1"/>
        <v>10.835614652235284</v>
      </c>
      <c r="D31" s="183">
        <f t="shared" si="2"/>
        <v>629.04744992641599</v>
      </c>
      <c r="E31" s="64">
        <f t="shared" si="3"/>
        <v>3.9099059999999998E-2</v>
      </c>
      <c r="F31" s="65">
        <f t="shared" si="4"/>
        <v>16333.784130401718</v>
      </c>
      <c r="G31" s="65">
        <f t="shared" si="5"/>
        <v>15948.963317384369</v>
      </c>
      <c r="H31" s="66">
        <f t="shared" si="6"/>
        <v>89.846291460721034</v>
      </c>
      <c r="I31" s="66" t="e">
        <f t="shared" si="7"/>
        <v>#VALUE!</v>
      </c>
      <c r="J31" s="426" t="e">
        <f t="shared" si="8"/>
        <v>#VALUE!</v>
      </c>
      <c r="K31" s="253" t="e">
        <f t="shared" si="9"/>
        <v>#VALUE!</v>
      </c>
      <c r="L31" s="271" t="e">
        <f t="shared" si="10"/>
        <v>#VALUE!</v>
      </c>
      <c r="M31" s="272" t="e">
        <f t="shared" si="11"/>
        <v>#VALUE!</v>
      </c>
      <c r="N31" s="256" t="e">
        <f t="shared" si="47"/>
        <v>#VALUE!</v>
      </c>
      <c r="O31" s="64">
        <f t="shared" si="12"/>
        <v>0.39517339142472652</v>
      </c>
      <c r="P31" s="64">
        <f t="shared" si="13"/>
        <v>0</v>
      </c>
      <c r="Q31" s="64">
        <f t="shared" si="14"/>
        <v>0</v>
      </c>
      <c r="R31" s="271" t="e">
        <f t="shared" si="44"/>
        <v>#VALUE!</v>
      </c>
      <c r="S31" s="64" t="e">
        <f t="shared" si="45"/>
        <v>#VALUE!</v>
      </c>
      <c r="T31" s="344" t="e">
        <f t="shared" si="33"/>
        <v>#VALUE!</v>
      </c>
      <c r="U31" s="279" t="e">
        <f t="shared" si="34"/>
        <v>#VALUE!</v>
      </c>
      <c r="V31" s="168" t="e">
        <f t="shared" si="15"/>
        <v>#VALUE!</v>
      </c>
      <c r="W31" s="184" t="e">
        <f t="shared" si="16"/>
        <v>#VALUE!</v>
      </c>
      <c r="X31" s="457" t="e">
        <f t="shared" si="17"/>
        <v>#VALUE!</v>
      </c>
      <c r="Y31" s="72" t="e">
        <f t="shared" si="18"/>
        <v>#VALUE!</v>
      </c>
      <c r="Z31" s="73" t="e">
        <f t="shared" si="19"/>
        <v>#VALUE!</v>
      </c>
      <c r="AA31" s="301" t="e">
        <f t="shared" si="48"/>
        <v>#VALUE!</v>
      </c>
      <c r="AB31" s="69" t="e">
        <f t="shared" si="20"/>
        <v>#VALUE!</v>
      </c>
      <c r="AC31" s="68" t="e">
        <f t="shared" si="21"/>
        <v>#VALUE!</v>
      </c>
      <c r="AD31" s="68" t="e">
        <f t="shared" si="22"/>
        <v>#VALUE!</v>
      </c>
      <c r="AE31" s="23" t="e">
        <f t="shared" si="23"/>
        <v>#VALUE!</v>
      </c>
      <c r="AF31" s="23" t="e">
        <f t="shared" si="24"/>
        <v>#VALUE!</v>
      </c>
      <c r="AG31" s="23" t="e">
        <f t="shared" si="25"/>
        <v>#VALUE!</v>
      </c>
      <c r="AH31" s="23" t="e">
        <f t="shared" si="26"/>
        <v>#VALUE!</v>
      </c>
      <c r="AI31" s="23" t="e">
        <f t="shared" si="27"/>
        <v>#VALUE!</v>
      </c>
      <c r="AJ31" s="23" t="e">
        <f t="shared" si="28"/>
        <v>#VALUE!</v>
      </c>
      <c r="AK31" s="295" t="e">
        <f t="shared" si="46"/>
        <v>#VALUE!</v>
      </c>
      <c r="AL31" s="70">
        <f t="shared" si="29"/>
        <v>14.01</v>
      </c>
      <c r="AM31" s="191">
        <f t="shared" si="37"/>
        <v>30</v>
      </c>
      <c r="AN31" s="192">
        <f t="shared" si="42"/>
        <v>16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34</v>
      </c>
      <c r="B32" s="64">
        <f t="shared" si="0"/>
        <v>10.1336635810909</v>
      </c>
      <c r="C32" s="64">
        <f t="shared" si="1"/>
        <v>11.1336635810909</v>
      </c>
      <c r="D32" s="183">
        <f t="shared" si="2"/>
        <v>648.10949386358004</v>
      </c>
      <c r="E32" s="64">
        <f t="shared" si="3"/>
        <v>4.0283879999999994E-2</v>
      </c>
      <c r="F32" s="65">
        <f t="shared" si="4"/>
        <v>15853.378714801669</v>
      </c>
      <c r="G32" s="65">
        <f t="shared" si="5"/>
        <v>15479.876160990711</v>
      </c>
      <c r="H32" s="66">
        <f t="shared" si="6"/>
        <v>90.450068488628176</v>
      </c>
      <c r="I32" s="66" t="e">
        <f t="shared" si="7"/>
        <v>#VALUE!</v>
      </c>
      <c r="J32" s="426" t="e">
        <f t="shared" si="8"/>
        <v>#VALUE!</v>
      </c>
      <c r="K32" s="253" t="e">
        <f t="shared" si="9"/>
        <v>#VALUE!</v>
      </c>
      <c r="L32" s="271" t="e">
        <f t="shared" si="10"/>
        <v>#VALUE!</v>
      </c>
      <c r="M32" s="272" t="e">
        <f t="shared" si="11"/>
        <v>#VALUE!</v>
      </c>
      <c r="N32" s="256" t="e">
        <f t="shared" si="47"/>
        <v>#VALUE!</v>
      </c>
      <c r="O32" s="64">
        <f t="shared" si="12"/>
        <v>0.40714834268002126</v>
      </c>
      <c r="P32" s="64">
        <f t="shared" si="13"/>
        <v>0</v>
      </c>
      <c r="Q32" s="64">
        <f t="shared" si="14"/>
        <v>0</v>
      </c>
      <c r="R32" s="271" t="e">
        <f t="shared" si="44"/>
        <v>#VALUE!</v>
      </c>
      <c r="S32" s="64" t="e">
        <f t="shared" si="45"/>
        <v>#VALUE!</v>
      </c>
      <c r="T32" s="344" t="e">
        <f t="shared" si="33"/>
        <v>#VALUE!</v>
      </c>
      <c r="U32" s="279" t="e">
        <f t="shared" si="34"/>
        <v>#VALUE!</v>
      </c>
      <c r="V32" s="168" t="e">
        <f t="shared" si="15"/>
        <v>#VALUE!</v>
      </c>
      <c r="W32" s="184" t="e">
        <f t="shared" si="16"/>
        <v>#VALUE!</v>
      </c>
      <c r="X32" s="457" t="e">
        <f t="shared" si="17"/>
        <v>#VALUE!</v>
      </c>
      <c r="Y32" s="72" t="e">
        <f t="shared" si="18"/>
        <v>#VALUE!</v>
      </c>
      <c r="Z32" s="73" t="e">
        <f t="shared" si="19"/>
        <v>#VALUE!</v>
      </c>
      <c r="AA32" s="301" t="e">
        <f t="shared" si="48"/>
        <v>#VALUE!</v>
      </c>
      <c r="AB32" s="69" t="e">
        <f t="shared" si="20"/>
        <v>#VALUE!</v>
      </c>
      <c r="AC32" s="68" t="e">
        <f t="shared" si="21"/>
        <v>#VALUE!</v>
      </c>
      <c r="AD32" s="68" t="e">
        <f t="shared" si="22"/>
        <v>#VALUE!</v>
      </c>
      <c r="AE32" s="23" t="e">
        <f t="shared" si="23"/>
        <v>#VALUE!</v>
      </c>
      <c r="AF32" s="23" t="e">
        <f t="shared" si="24"/>
        <v>#VALUE!</v>
      </c>
      <c r="AG32" s="23" t="e">
        <f t="shared" si="25"/>
        <v>#VALUE!</v>
      </c>
      <c r="AH32" s="23" t="e">
        <f t="shared" si="26"/>
        <v>#VALUE!</v>
      </c>
      <c r="AI32" s="23" t="e">
        <f t="shared" si="27"/>
        <v>#VALUE!</v>
      </c>
      <c r="AJ32" s="23" t="e">
        <f t="shared" si="28"/>
        <v>#VALUE!</v>
      </c>
      <c r="AK32" s="295" t="e">
        <f t="shared" si="46"/>
        <v>#VALUE!</v>
      </c>
      <c r="AL32" s="70">
        <f t="shared" si="29"/>
        <v>14.01</v>
      </c>
      <c r="AM32" s="191">
        <f t="shared" si="37"/>
        <v>30</v>
      </c>
      <c r="AN32" s="192">
        <f t="shared" si="42"/>
        <v>16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35</v>
      </c>
      <c r="B33" s="52">
        <f t="shared" si="0"/>
        <v>10.431712509946514</v>
      </c>
      <c r="C33" s="52">
        <f t="shared" si="1"/>
        <v>11.431712509946514</v>
      </c>
      <c r="D33" s="180">
        <f t="shared" si="2"/>
        <v>667.1715378007442</v>
      </c>
      <c r="E33" s="52">
        <f t="shared" si="3"/>
        <v>4.1468699999999997E-2</v>
      </c>
      <c r="F33" s="53">
        <f t="shared" si="4"/>
        <v>15400.425037235907</v>
      </c>
      <c r="G33" s="53">
        <f t="shared" si="5"/>
        <v>15037.593984962405</v>
      </c>
      <c r="H33" s="54">
        <f t="shared" si="6"/>
        <v>91.067684753586775</v>
      </c>
      <c r="I33" s="54" t="e">
        <f t="shared" si="7"/>
        <v>#VALUE!</v>
      </c>
      <c r="J33" s="425" t="e">
        <f t="shared" si="8"/>
        <v>#VALUE!</v>
      </c>
      <c r="K33" s="252" t="e">
        <f t="shared" si="9"/>
        <v>#VALUE!</v>
      </c>
      <c r="L33" s="268" t="e">
        <f t="shared" si="10"/>
        <v>#VALUE!</v>
      </c>
      <c r="M33" s="269" t="e">
        <f t="shared" si="11"/>
        <v>#VALUE!</v>
      </c>
      <c r="N33" s="270" t="e">
        <f t="shared" si="47"/>
        <v>#VALUE!</v>
      </c>
      <c r="O33" s="52">
        <f t="shared" si="12"/>
        <v>0.419123293935316</v>
      </c>
      <c r="P33" s="52">
        <f t="shared" si="13"/>
        <v>0</v>
      </c>
      <c r="Q33" s="52">
        <f t="shared" si="14"/>
        <v>0</v>
      </c>
      <c r="R33" s="268" t="e">
        <f t="shared" si="44"/>
        <v>#VALUE!</v>
      </c>
      <c r="S33" s="52" t="e">
        <f t="shared" si="45"/>
        <v>#VALUE!</v>
      </c>
      <c r="T33" s="282" t="e">
        <f t="shared" si="33"/>
        <v>#VALUE!</v>
      </c>
      <c r="U33" s="278" t="e">
        <f t="shared" si="34"/>
        <v>#VALUE!</v>
      </c>
      <c r="V33" s="181" t="e">
        <f t="shared" si="15"/>
        <v>#VALUE!</v>
      </c>
      <c r="W33" s="182" t="e">
        <f t="shared" si="16"/>
        <v>#VALUE!</v>
      </c>
      <c r="X33" s="456" t="e">
        <f t="shared" si="17"/>
        <v>#VALUE!</v>
      </c>
      <c r="Y33" s="59" t="e">
        <f t="shared" si="18"/>
        <v>#VALUE!</v>
      </c>
      <c r="Z33" s="60" t="e">
        <f t="shared" si="19"/>
        <v>#VALUE!</v>
      </c>
      <c r="AA33" s="300" t="e">
        <f t="shared" si="48"/>
        <v>#VALUE!</v>
      </c>
      <c r="AB33" s="56" t="e">
        <f t="shared" si="20"/>
        <v>#VALUE!</v>
      </c>
      <c r="AC33" s="55" t="e">
        <f t="shared" si="21"/>
        <v>#VALUE!</v>
      </c>
      <c r="AD33" s="55" t="e">
        <f t="shared" si="22"/>
        <v>#VALUE!</v>
      </c>
      <c r="AE33" s="61" t="e">
        <f t="shared" si="23"/>
        <v>#VALUE!</v>
      </c>
      <c r="AF33" s="61" t="e">
        <f t="shared" si="24"/>
        <v>#VALUE!</v>
      </c>
      <c r="AG33" s="61" t="e">
        <f t="shared" si="25"/>
        <v>#VALUE!</v>
      </c>
      <c r="AH33" s="61" t="e">
        <f t="shared" si="26"/>
        <v>#VALUE!</v>
      </c>
      <c r="AI33" s="61" t="e">
        <f t="shared" si="27"/>
        <v>#VALUE!</v>
      </c>
      <c r="AJ33" s="61" t="e">
        <f t="shared" si="28"/>
        <v>#VALUE!</v>
      </c>
      <c r="AK33" s="306" t="e">
        <f t="shared" si="46"/>
        <v>#VALUE!</v>
      </c>
      <c r="AL33" s="57">
        <f t="shared" si="29"/>
        <v>14.01</v>
      </c>
      <c r="AM33" s="190">
        <f t="shared" si="37"/>
        <v>30</v>
      </c>
      <c r="AN33" s="193">
        <f t="shared" si="42"/>
        <v>16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36</v>
      </c>
      <c r="B34" s="64">
        <f t="shared" si="0"/>
        <v>10.729761438802127</v>
      </c>
      <c r="C34" s="64">
        <f t="shared" si="1"/>
        <v>11.729761438802127</v>
      </c>
      <c r="D34" s="183">
        <f t="shared" si="2"/>
        <v>686.23358173790825</v>
      </c>
      <c r="E34" s="64">
        <f t="shared" si="3"/>
        <v>4.2653519999999993E-2</v>
      </c>
      <c r="F34" s="65">
        <f t="shared" si="4"/>
        <v>14972.635452868242</v>
      </c>
      <c r="G34" s="65">
        <f t="shared" si="5"/>
        <v>14619.883040935671</v>
      </c>
      <c r="H34" s="66">
        <f t="shared" si="6"/>
        <v>91.698860623173672</v>
      </c>
      <c r="I34" s="66" t="e">
        <f t="shared" si="7"/>
        <v>#VALUE!</v>
      </c>
      <c r="J34" s="426" t="e">
        <f t="shared" si="8"/>
        <v>#VALUE!</v>
      </c>
      <c r="K34" s="253" t="e">
        <f t="shared" si="9"/>
        <v>#VALUE!</v>
      </c>
      <c r="L34" s="271" t="e">
        <f t="shared" si="10"/>
        <v>#VALUE!</v>
      </c>
      <c r="M34" s="272" t="e">
        <f t="shared" si="11"/>
        <v>#VALUE!</v>
      </c>
      <c r="N34" s="256" t="e">
        <f t="shared" si="47"/>
        <v>#VALUE!</v>
      </c>
      <c r="O34" s="64">
        <f t="shared" si="12"/>
        <v>0.43109824519061074</v>
      </c>
      <c r="P34" s="64">
        <f t="shared" si="13"/>
        <v>0</v>
      </c>
      <c r="Q34" s="64">
        <f t="shared" si="14"/>
        <v>0</v>
      </c>
      <c r="R34" s="271" t="e">
        <f t="shared" si="44"/>
        <v>#VALUE!</v>
      </c>
      <c r="S34" s="64" t="e">
        <f t="shared" si="45"/>
        <v>#VALUE!</v>
      </c>
      <c r="T34" s="344" t="e">
        <f t="shared" si="33"/>
        <v>#VALUE!</v>
      </c>
      <c r="U34" s="279" t="e">
        <f t="shared" si="34"/>
        <v>#VALUE!</v>
      </c>
      <c r="V34" s="168" t="e">
        <f t="shared" si="15"/>
        <v>#VALUE!</v>
      </c>
      <c r="W34" s="184" t="e">
        <f t="shared" si="16"/>
        <v>#VALUE!</v>
      </c>
      <c r="X34" s="457" t="e">
        <f t="shared" si="17"/>
        <v>#VALUE!</v>
      </c>
      <c r="Y34" s="72" t="e">
        <f t="shared" si="18"/>
        <v>#VALUE!</v>
      </c>
      <c r="Z34" s="73" t="e">
        <f t="shared" si="19"/>
        <v>#VALUE!</v>
      </c>
      <c r="AA34" s="301" t="e">
        <f t="shared" si="48"/>
        <v>#VALUE!</v>
      </c>
      <c r="AB34" s="69" t="e">
        <f t="shared" si="20"/>
        <v>#VALUE!</v>
      </c>
      <c r="AC34" s="68" t="e">
        <f t="shared" si="21"/>
        <v>#VALUE!</v>
      </c>
      <c r="AD34" s="68" t="e">
        <f t="shared" si="22"/>
        <v>#VALUE!</v>
      </c>
      <c r="AE34" s="23" t="e">
        <f t="shared" si="23"/>
        <v>#VALUE!</v>
      </c>
      <c r="AF34" s="23" t="e">
        <f t="shared" si="24"/>
        <v>#VALUE!</v>
      </c>
      <c r="AG34" s="23" t="e">
        <f t="shared" si="25"/>
        <v>#VALUE!</v>
      </c>
      <c r="AH34" s="23" t="e">
        <f t="shared" si="26"/>
        <v>#VALUE!</v>
      </c>
      <c r="AI34" s="23" t="e">
        <f t="shared" si="27"/>
        <v>#VALUE!</v>
      </c>
      <c r="AJ34" s="23" t="e">
        <f t="shared" si="28"/>
        <v>#VALUE!</v>
      </c>
      <c r="AK34" s="295" t="e">
        <f t="shared" si="46"/>
        <v>#VALUE!</v>
      </c>
      <c r="AL34" s="70">
        <f t="shared" si="29"/>
        <v>14.01</v>
      </c>
      <c r="AM34" s="191">
        <f t="shared" si="37"/>
        <v>30</v>
      </c>
      <c r="AN34" s="192">
        <f t="shared" si="42"/>
        <v>16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37</v>
      </c>
      <c r="B35" s="64">
        <f t="shared" si="0"/>
        <v>11.027810367657743</v>
      </c>
      <c r="C35" s="64">
        <f t="shared" si="1"/>
        <v>12.027810367657743</v>
      </c>
      <c r="D35" s="183">
        <f t="shared" si="2"/>
        <v>705.29562567507242</v>
      </c>
      <c r="E35" s="64">
        <f t="shared" si="3"/>
        <v>4.3838339999999996E-2</v>
      </c>
      <c r="F35" s="65">
        <f t="shared" si="4"/>
        <v>14567.96962981775</v>
      </c>
      <c r="G35" s="65">
        <f t="shared" si="5"/>
        <v>14224.751066856328</v>
      </c>
      <c r="H35" s="66">
        <f t="shared" si="6"/>
        <v>92.343318054021864</v>
      </c>
      <c r="I35" s="66" t="e">
        <f t="shared" si="7"/>
        <v>#VALUE!</v>
      </c>
      <c r="J35" s="426" t="e">
        <f t="shared" si="8"/>
        <v>#VALUE!</v>
      </c>
      <c r="K35" s="253" t="e">
        <f t="shared" si="9"/>
        <v>#VALUE!</v>
      </c>
      <c r="L35" s="271" t="e">
        <f t="shared" si="10"/>
        <v>#VALUE!</v>
      </c>
      <c r="M35" s="272" t="e">
        <f t="shared" si="11"/>
        <v>#VALUE!</v>
      </c>
      <c r="N35" s="256" t="e">
        <f t="shared" si="47"/>
        <v>#VALUE!</v>
      </c>
      <c r="O35" s="64">
        <f t="shared" si="12"/>
        <v>0.44307319644590554</v>
      </c>
      <c r="P35" s="64">
        <f t="shared" si="13"/>
        <v>0</v>
      </c>
      <c r="Q35" s="64">
        <f t="shared" si="14"/>
        <v>0</v>
      </c>
      <c r="R35" s="271" t="e">
        <f t="shared" si="44"/>
        <v>#VALUE!</v>
      </c>
      <c r="S35" s="64" t="e">
        <f t="shared" si="45"/>
        <v>#VALUE!</v>
      </c>
      <c r="T35" s="344" t="e">
        <f t="shared" si="33"/>
        <v>#VALUE!</v>
      </c>
      <c r="U35" s="279" t="e">
        <f t="shared" si="34"/>
        <v>#VALUE!</v>
      </c>
      <c r="V35" s="168" t="e">
        <f t="shared" si="15"/>
        <v>#VALUE!</v>
      </c>
      <c r="W35" s="184" t="e">
        <f t="shared" si="16"/>
        <v>#VALUE!</v>
      </c>
      <c r="X35" s="457" t="e">
        <f t="shared" si="17"/>
        <v>#VALUE!</v>
      </c>
      <c r="Y35" s="72" t="e">
        <f t="shared" si="18"/>
        <v>#VALUE!</v>
      </c>
      <c r="Z35" s="73" t="e">
        <f t="shared" si="19"/>
        <v>#VALUE!</v>
      </c>
      <c r="AA35" s="301" t="e">
        <f t="shared" si="48"/>
        <v>#VALUE!</v>
      </c>
      <c r="AB35" s="69" t="e">
        <f t="shared" si="20"/>
        <v>#VALUE!</v>
      </c>
      <c r="AC35" s="68" t="e">
        <f t="shared" si="21"/>
        <v>#VALUE!</v>
      </c>
      <c r="AD35" s="68" t="e">
        <f t="shared" si="22"/>
        <v>#VALUE!</v>
      </c>
      <c r="AE35" s="23" t="e">
        <f t="shared" si="23"/>
        <v>#VALUE!</v>
      </c>
      <c r="AF35" s="23" t="e">
        <f t="shared" si="24"/>
        <v>#VALUE!</v>
      </c>
      <c r="AG35" s="23" t="e">
        <f t="shared" si="25"/>
        <v>#VALUE!</v>
      </c>
      <c r="AH35" s="23" t="e">
        <f t="shared" si="26"/>
        <v>#VALUE!</v>
      </c>
      <c r="AI35" s="23" t="e">
        <f t="shared" si="27"/>
        <v>#VALUE!</v>
      </c>
      <c r="AJ35" s="23" t="e">
        <f t="shared" si="28"/>
        <v>#VALUE!</v>
      </c>
      <c r="AK35" s="295" t="e">
        <f t="shared" si="46"/>
        <v>#VALUE!</v>
      </c>
      <c r="AL35" s="70">
        <f t="shared" si="29"/>
        <v>14.01</v>
      </c>
      <c r="AM35" s="191">
        <f t="shared" si="37"/>
        <v>30</v>
      </c>
      <c r="AN35" s="192">
        <f t="shared" si="42"/>
        <v>16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38</v>
      </c>
      <c r="B36" s="64">
        <f t="shared" si="0"/>
        <v>11.325859296513359</v>
      </c>
      <c r="C36" s="64">
        <f t="shared" si="1"/>
        <v>12.325859296513359</v>
      </c>
      <c r="D36" s="183">
        <f t="shared" si="2"/>
        <v>724.35766961223658</v>
      </c>
      <c r="E36" s="64">
        <f t="shared" si="3"/>
        <v>4.5023159999999993E-2</v>
      </c>
      <c r="F36" s="65">
        <f t="shared" si="4"/>
        <v>14184.60200798044</v>
      </c>
      <c r="G36" s="65">
        <f t="shared" si="5"/>
        <v>13850.415512465372</v>
      </c>
      <c r="H36" s="66">
        <f t="shared" si="6"/>
        <v>93.000780939154964</v>
      </c>
      <c r="I36" s="66" t="e">
        <f t="shared" si="7"/>
        <v>#VALUE!</v>
      </c>
      <c r="J36" s="426" t="e">
        <f t="shared" si="8"/>
        <v>#VALUE!</v>
      </c>
      <c r="K36" s="253" t="e">
        <f t="shared" si="9"/>
        <v>#VALUE!</v>
      </c>
      <c r="L36" s="271" t="e">
        <f t="shared" si="10"/>
        <v>#VALUE!</v>
      </c>
      <c r="M36" s="272" t="e">
        <f t="shared" si="11"/>
        <v>#VALUE!</v>
      </c>
      <c r="N36" s="256" t="e">
        <f t="shared" si="47"/>
        <v>#VALUE!</v>
      </c>
      <c r="O36" s="64">
        <f t="shared" si="12"/>
        <v>0.45504814770120022</v>
      </c>
      <c r="P36" s="64">
        <f t="shared" si="13"/>
        <v>0</v>
      </c>
      <c r="Q36" s="64">
        <f t="shared" si="14"/>
        <v>0</v>
      </c>
      <c r="R36" s="271" t="e">
        <f t="shared" si="44"/>
        <v>#VALUE!</v>
      </c>
      <c r="S36" s="64" t="e">
        <f t="shared" si="45"/>
        <v>#VALUE!</v>
      </c>
      <c r="T36" s="344" t="e">
        <f t="shared" si="33"/>
        <v>#VALUE!</v>
      </c>
      <c r="U36" s="279" t="e">
        <f t="shared" si="34"/>
        <v>#VALUE!</v>
      </c>
      <c r="V36" s="168" t="e">
        <f t="shared" si="15"/>
        <v>#VALUE!</v>
      </c>
      <c r="W36" s="184" t="e">
        <f t="shared" si="16"/>
        <v>#VALUE!</v>
      </c>
      <c r="X36" s="457" t="e">
        <f t="shared" si="17"/>
        <v>#VALUE!</v>
      </c>
      <c r="Y36" s="72" t="e">
        <f t="shared" si="18"/>
        <v>#VALUE!</v>
      </c>
      <c r="Z36" s="73" t="e">
        <f t="shared" si="19"/>
        <v>#VALUE!</v>
      </c>
      <c r="AA36" s="301" t="e">
        <f t="shared" si="48"/>
        <v>#VALUE!</v>
      </c>
      <c r="AB36" s="69" t="e">
        <f t="shared" si="20"/>
        <v>#VALUE!</v>
      </c>
      <c r="AC36" s="68" t="e">
        <f t="shared" si="21"/>
        <v>#VALUE!</v>
      </c>
      <c r="AD36" s="68" t="e">
        <f t="shared" si="22"/>
        <v>#VALUE!</v>
      </c>
      <c r="AE36" s="23" t="e">
        <f t="shared" si="23"/>
        <v>#VALUE!</v>
      </c>
      <c r="AF36" s="23" t="e">
        <f t="shared" si="24"/>
        <v>#VALUE!</v>
      </c>
      <c r="AG36" s="23" t="e">
        <f t="shared" si="25"/>
        <v>#VALUE!</v>
      </c>
      <c r="AH36" s="23" t="e">
        <f t="shared" si="26"/>
        <v>#VALUE!</v>
      </c>
      <c r="AI36" s="23" t="e">
        <f t="shared" si="27"/>
        <v>#VALUE!</v>
      </c>
      <c r="AJ36" s="23" t="e">
        <f t="shared" si="28"/>
        <v>#VALUE!</v>
      </c>
      <c r="AK36" s="295" t="e">
        <f t="shared" si="46"/>
        <v>#VALUE!</v>
      </c>
      <c r="AL36" s="70">
        <f t="shared" si="29"/>
        <v>14.01</v>
      </c>
      <c r="AM36" s="191">
        <f t="shared" si="37"/>
        <v>30</v>
      </c>
      <c r="AN36" s="192">
        <f t="shared" si="42"/>
        <v>16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39</v>
      </c>
      <c r="B37" s="64">
        <f t="shared" si="0"/>
        <v>11.623908225368972</v>
      </c>
      <c r="C37" s="64">
        <f t="shared" si="1"/>
        <v>12.623908225368972</v>
      </c>
      <c r="D37" s="183">
        <f t="shared" si="2"/>
        <v>743.41971354940063</v>
      </c>
      <c r="E37" s="64">
        <f t="shared" si="3"/>
        <v>4.6207979999999996E-2</v>
      </c>
      <c r="F37" s="65">
        <f t="shared" si="4"/>
        <v>13820.89426418607</v>
      </c>
      <c r="G37" s="65">
        <f t="shared" si="5"/>
        <v>13495.276653171388</v>
      </c>
      <c r="H37" s="66">
        <f t="shared" si="6"/>
        <v>93.670975428825216</v>
      </c>
      <c r="I37" s="66" t="e">
        <f t="shared" si="7"/>
        <v>#VALUE!</v>
      </c>
      <c r="J37" s="426" t="e">
        <f t="shared" si="8"/>
        <v>#VALUE!</v>
      </c>
      <c r="K37" s="253" t="e">
        <f t="shared" si="9"/>
        <v>#VALUE!</v>
      </c>
      <c r="L37" s="271" t="e">
        <f t="shared" si="10"/>
        <v>#VALUE!</v>
      </c>
      <c r="M37" s="272" t="e">
        <f t="shared" si="11"/>
        <v>#VALUE!</v>
      </c>
      <c r="N37" s="256" t="e">
        <f t="shared" si="47"/>
        <v>#VALUE!</v>
      </c>
      <c r="O37" s="64">
        <f t="shared" si="12"/>
        <v>0.46702309895649496</v>
      </c>
      <c r="P37" s="64">
        <f t="shared" si="13"/>
        <v>0</v>
      </c>
      <c r="Q37" s="64">
        <f t="shared" si="14"/>
        <v>0</v>
      </c>
      <c r="R37" s="271" t="e">
        <f t="shared" si="44"/>
        <v>#VALUE!</v>
      </c>
      <c r="S37" s="64" t="e">
        <f t="shared" si="45"/>
        <v>#VALUE!</v>
      </c>
      <c r="T37" s="344" t="e">
        <f t="shared" si="33"/>
        <v>#VALUE!</v>
      </c>
      <c r="U37" s="279" t="e">
        <f t="shared" si="34"/>
        <v>#VALUE!</v>
      </c>
      <c r="V37" s="168" t="e">
        <f t="shared" si="15"/>
        <v>#VALUE!</v>
      </c>
      <c r="W37" s="184" t="e">
        <f t="shared" si="16"/>
        <v>#VALUE!</v>
      </c>
      <c r="X37" s="457" t="e">
        <f t="shared" si="17"/>
        <v>#VALUE!</v>
      </c>
      <c r="Y37" s="72" t="e">
        <f t="shared" si="18"/>
        <v>#VALUE!</v>
      </c>
      <c r="Z37" s="73" t="e">
        <f t="shared" si="19"/>
        <v>#VALUE!</v>
      </c>
      <c r="AA37" s="301" t="e">
        <f t="shared" si="48"/>
        <v>#VALUE!</v>
      </c>
      <c r="AB37" s="69" t="e">
        <f t="shared" si="20"/>
        <v>#VALUE!</v>
      </c>
      <c r="AC37" s="68" t="e">
        <f t="shared" si="21"/>
        <v>#VALUE!</v>
      </c>
      <c r="AD37" s="68" t="e">
        <f t="shared" si="22"/>
        <v>#VALUE!</v>
      </c>
      <c r="AE37" s="23" t="e">
        <f t="shared" si="23"/>
        <v>#VALUE!</v>
      </c>
      <c r="AF37" s="23" t="e">
        <f t="shared" si="24"/>
        <v>#VALUE!</v>
      </c>
      <c r="AG37" s="23" t="e">
        <f t="shared" si="25"/>
        <v>#VALUE!</v>
      </c>
      <c r="AH37" s="23" t="e">
        <f t="shared" si="26"/>
        <v>#VALUE!</v>
      </c>
      <c r="AI37" s="23" t="e">
        <f t="shared" si="27"/>
        <v>#VALUE!</v>
      </c>
      <c r="AJ37" s="23" t="e">
        <f t="shared" si="28"/>
        <v>#VALUE!</v>
      </c>
      <c r="AK37" s="295" t="e">
        <f t="shared" si="46"/>
        <v>#VALUE!</v>
      </c>
      <c r="AL37" s="70">
        <f t="shared" si="29"/>
        <v>14.01</v>
      </c>
      <c r="AM37" s="191">
        <f t="shared" si="37"/>
        <v>30</v>
      </c>
      <c r="AN37" s="192">
        <f t="shared" si="42"/>
        <v>16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40</v>
      </c>
      <c r="B38" s="76">
        <f t="shared" si="0"/>
        <v>11.921957154224588</v>
      </c>
      <c r="C38" s="76">
        <f t="shared" si="1"/>
        <v>12.921957154224588</v>
      </c>
      <c r="D38" s="185">
        <f t="shared" si="2"/>
        <v>762.48175748656479</v>
      </c>
      <c r="E38" s="76">
        <f t="shared" si="3"/>
        <v>4.7392799999999992E-2</v>
      </c>
      <c r="F38" s="77">
        <f t="shared" si="4"/>
        <v>13475.371907581417</v>
      </c>
      <c r="G38" s="77">
        <f t="shared" si="5"/>
        <v>13157.894736842103</v>
      </c>
      <c r="H38" s="78">
        <f t="shared" si="6"/>
        <v>94.353630225396756</v>
      </c>
      <c r="I38" s="78" t="e">
        <f t="shared" si="7"/>
        <v>#VALUE!</v>
      </c>
      <c r="J38" s="427" t="e">
        <f t="shared" si="8"/>
        <v>#VALUE!</v>
      </c>
      <c r="K38" s="254" t="e">
        <f t="shared" si="9"/>
        <v>#VALUE!</v>
      </c>
      <c r="L38" s="257" t="e">
        <f t="shared" si="10"/>
        <v>#VALUE!</v>
      </c>
      <c r="M38" s="273" t="e">
        <f t="shared" si="11"/>
        <v>#VALUE!</v>
      </c>
      <c r="N38" s="270" t="e">
        <f t="shared" si="47"/>
        <v>#VALUE!</v>
      </c>
      <c r="O38" s="76">
        <f t="shared" si="12"/>
        <v>0.47899805021178976</v>
      </c>
      <c r="P38" s="76">
        <f t="shared" si="13"/>
        <v>0</v>
      </c>
      <c r="Q38" s="76">
        <f t="shared" si="14"/>
        <v>0</v>
      </c>
      <c r="R38" s="257" t="e">
        <f t="shared" si="44"/>
        <v>#VALUE!</v>
      </c>
      <c r="S38" s="76" t="e">
        <f t="shared" si="45"/>
        <v>#VALUE!</v>
      </c>
      <c r="T38" s="283" t="e">
        <f t="shared" si="33"/>
        <v>#VALUE!</v>
      </c>
      <c r="U38" s="280" t="e">
        <f t="shared" si="34"/>
        <v>#VALUE!</v>
      </c>
      <c r="V38" s="186" t="e">
        <f t="shared" si="15"/>
        <v>#VALUE!</v>
      </c>
      <c r="W38" s="187" t="e">
        <f t="shared" si="16"/>
        <v>#VALUE!</v>
      </c>
      <c r="X38" s="458" t="e">
        <f t="shared" si="17"/>
        <v>#VALUE!</v>
      </c>
      <c r="Y38" s="80" t="e">
        <f t="shared" si="18"/>
        <v>#VALUE!</v>
      </c>
      <c r="Z38" s="83" t="e">
        <f t="shared" si="19"/>
        <v>#VALUE!</v>
      </c>
      <c r="AA38" s="300" t="e">
        <f t="shared" si="48"/>
        <v>#VALUE!</v>
      </c>
      <c r="AB38" s="79" t="e">
        <f t="shared" si="20"/>
        <v>#VALUE!</v>
      </c>
      <c r="AC38" s="80" t="e">
        <f t="shared" si="21"/>
        <v>#VALUE!</v>
      </c>
      <c r="AD38" s="80" t="e">
        <f t="shared" si="22"/>
        <v>#VALUE!</v>
      </c>
      <c r="AE38" s="84" t="e">
        <f t="shared" si="23"/>
        <v>#VALUE!</v>
      </c>
      <c r="AF38" s="84" t="e">
        <f t="shared" si="24"/>
        <v>#VALUE!</v>
      </c>
      <c r="AG38" s="84" t="e">
        <f t="shared" si="25"/>
        <v>#VALUE!</v>
      </c>
      <c r="AH38" s="84" t="e">
        <f t="shared" si="26"/>
        <v>#VALUE!</v>
      </c>
      <c r="AI38" s="84" t="e">
        <f t="shared" si="27"/>
        <v>#VALUE!</v>
      </c>
      <c r="AJ38" s="84" t="e">
        <f t="shared" si="28"/>
        <v>#VALUE!</v>
      </c>
      <c r="AK38" s="387" t="e">
        <f t="shared" si="46"/>
        <v>#VALUE!</v>
      </c>
      <c r="AL38" s="81">
        <f t="shared" si="29"/>
        <v>14.01</v>
      </c>
      <c r="AM38" s="194">
        <f t="shared" si="37"/>
        <v>30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 t="e">
        <f>SUM(AO18:AO38)</f>
        <v>#VALUE!</v>
      </c>
      <c r="AP39" s="355" t="e">
        <f>SUM(AP18:AP38)</f>
        <v>#VALUE!</v>
      </c>
      <c r="AQ39" s="356">
        <f>SUM(AQ18:AQ38)</f>
        <v>0.83742959509737036</v>
      </c>
      <c r="AR39" s="356">
        <f>SUM(AR18:AR38)</f>
        <v>0.83742959509737036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-0.29946702198534303</v>
      </c>
      <c r="AB41" s="294">
        <f t="shared" ref="AB41:AB69" si="51">MAX(MIN(B_1*Tb_eff*($AA41)/(SQRT(2)*$AG$9),10),-10)</f>
        <v>-0.54431618958137851</v>
      </c>
      <c r="AC41" s="294">
        <f t="shared" ref="AC41:AC69" si="52">MAX(MIN(B_1*Tb_eff*(1-$AA41)/(SQRT(2)*$AG$9),10),-10)</f>
        <v>2.3619326535672505</v>
      </c>
      <c r="AD41" s="315">
        <f t="shared" ref="AD41:AD69" si="53">(ERF(AB41)+1)/2</f>
        <v>0.2207153992351556</v>
      </c>
      <c r="AE41" s="315">
        <f t="shared" ref="AE41:AE69" si="54">(ERF(AC41)+1)/2</f>
        <v>0.99958152595991412</v>
      </c>
      <c r="AF41" s="316">
        <f t="shared" ref="AF41:AF69" si="55">AD41+AE41-1</f>
        <v>0.22029692519506971</v>
      </c>
      <c r="AG41" s="316">
        <f t="shared" ref="AG41:AG69" si="56">1-AD41</f>
        <v>0.7792846007648444</v>
      </c>
      <c r="AH41" s="316">
        <f t="shared" ref="AH41:AH69" si="57">1-AE41</f>
        <v>4.1847404008588107E-4</v>
      </c>
      <c r="AI41" s="316">
        <f t="shared" ref="AI41:AI69" si="58">1-AF41</f>
        <v>0.77970307480493029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-0.25</v>
      </c>
      <c r="AM41" s="313">
        <f t="shared" ref="AM41:AM69" si="62">$Z41+$G$9/(2*$Y$44)</f>
        <v>-0.25</v>
      </c>
      <c r="AN41" s="294">
        <f>$C$12</f>
        <v>0.3</v>
      </c>
      <c r="AO41" s="296">
        <v>0.5</v>
      </c>
      <c r="AP41" s="314" t="e">
        <f t="shared" ref="AP41:AP69" si="63">MAX(MIN(B_1*Tb_eff*($AA41)/(SQRT(2)*$AP$39),10),-10)</f>
        <v>#VALUE!</v>
      </c>
      <c r="AQ41" s="294" t="e">
        <f t="shared" ref="AQ41:AQ69" si="64">MAX(MIN(B_1*Tb_eff*(1-$AA41)/(SQRT(2)*$AP$39),10),-10)</f>
        <v>#VALUE!</v>
      </c>
      <c r="AR41" s="315" t="e">
        <f t="shared" ref="AR41:AR69" si="65">(ERF(AP41)+1)/2</f>
        <v>#VALUE!</v>
      </c>
      <c r="AS41" s="315" t="e">
        <f t="shared" ref="AS41:AS69" si="66">(ERF(AQ41)+1)/2</f>
        <v>#VALUE!</v>
      </c>
      <c r="AT41" s="316" t="e">
        <f t="shared" ref="AT41:AT69" si="67">AR41+AS41-1</f>
        <v>#VALUE!</v>
      </c>
      <c r="AU41" s="316" t="e">
        <f t="shared" ref="AU41:AW69" si="68">1-AR41</f>
        <v>#VALUE!</v>
      </c>
      <c r="AV41" s="316" t="e">
        <f t="shared" si="68"/>
        <v>#VALUE!</v>
      </c>
      <c r="AW41" s="338" t="e">
        <f t="shared" si="68"/>
        <v>#VALUE!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-0.2461692205196534</v>
      </c>
      <c r="AB42" s="294">
        <f t="shared" si="51"/>
        <v>-0.44744122814309067</v>
      </c>
      <c r="AC42" s="294">
        <f t="shared" si="52"/>
        <v>2.2650576921289622</v>
      </c>
      <c r="AD42" s="315">
        <f t="shared" si="53"/>
        <v>0.26343949121253396</v>
      </c>
      <c r="AE42" s="315">
        <f t="shared" si="54"/>
        <v>0.99932062989239667</v>
      </c>
      <c r="AF42" s="316">
        <f t="shared" si="55"/>
        <v>0.26276012110493063</v>
      </c>
      <c r="AG42" s="316">
        <f t="shared" si="56"/>
        <v>0.73656050878746604</v>
      </c>
      <c r="AH42" s="316">
        <f t="shared" si="57"/>
        <v>6.7937010760332761E-4</v>
      </c>
      <c r="AI42" s="316">
        <f t="shared" si="58"/>
        <v>0.73723987889506937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296">
        <f>$C$14</f>
        <v>0.25</v>
      </c>
      <c r="AP42" s="314" t="e">
        <f t="shared" si="63"/>
        <v>#VALUE!</v>
      </c>
      <c r="AQ42" s="294" t="e">
        <f t="shared" si="64"/>
        <v>#VALUE!</v>
      </c>
      <c r="AR42" s="315" t="e">
        <f t="shared" si="65"/>
        <v>#VALUE!</v>
      </c>
      <c r="AS42" s="315" t="e">
        <f t="shared" si="66"/>
        <v>#VALUE!</v>
      </c>
      <c r="AT42" s="316" t="e">
        <f t="shared" si="67"/>
        <v>#VALUE!</v>
      </c>
      <c r="AU42" s="316" t="e">
        <f t="shared" si="68"/>
        <v>#VALUE!</v>
      </c>
      <c r="AV42" s="316" t="e">
        <f t="shared" si="68"/>
        <v>#VALUE!</v>
      </c>
      <c r="AW42" s="338" t="e">
        <f t="shared" si="68"/>
        <v>#VALUE!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-0.35056626670480334</v>
      </c>
      <c r="AC43" s="294">
        <f t="shared" si="52"/>
        <v>2.1681827306906749</v>
      </c>
      <c r="AD43" s="315">
        <f t="shared" si="53"/>
        <v>0.31002638184641534</v>
      </c>
      <c r="AE43" s="315">
        <f t="shared" si="54"/>
        <v>0.99891627494783553</v>
      </c>
      <c r="AF43" s="316">
        <f t="shared" si="55"/>
        <v>0.30894265679425081</v>
      </c>
      <c r="AG43" s="316">
        <f t="shared" si="56"/>
        <v>0.68997361815358471</v>
      </c>
      <c r="AH43" s="316">
        <f t="shared" si="57"/>
        <v>1.0837250521644748E-3</v>
      </c>
      <c r="AI43" s="316">
        <f t="shared" si="58"/>
        <v>0.69105734320574919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296">
        <f>$C$14</f>
        <v>0.25</v>
      </c>
      <c r="AP43" s="314" t="e">
        <f t="shared" si="63"/>
        <v>#VALUE!</v>
      </c>
      <c r="AQ43" s="294" t="e">
        <f t="shared" si="64"/>
        <v>#VALUE!</v>
      </c>
      <c r="AR43" s="315" t="e">
        <f t="shared" si="65"/>
        <v>#VALUE!</v>
      </c>
      <c r="AS43" s="315" t="e">
        <f t="shared" si="66"/>
        <v>#VALUE!</v>
      </c>
      <c r="AT43" s="316" t="e">
        <f t="shared" si="67"/>
        <v>#VALUE!</v>
      </c>
      <c r="AU43" s="316" t="e">
        <f t="shared" si="68"/>
        <v>#VALUE!</v>
      </c>
      <c r="AV43" s="316" t="e">
        <f t="shared" si="68"/>
        <v>#VALUE!</v>
      </c>
      <c r="AW43" s="338" t="e">
        <f t="shared" si="68"/>
        <v>#VALUE!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-0.25369130526651551</v>
      </c>
      <c r="AC44" s="294">
        <f t="shared" si="52"/>
        <v>2.0713077692523867</v>
      </c>
      <c r="AD44" s="315">
        <f t="shared" si="53"/>
        <v>0.35988220024393131</v>
      </c>
      <c r="AE44" s="315">
        <f t="shared" si="54"/>
        <v>0.99830121264300398</v>
      </c>
      <c r="AF44" s="316">
        <f t="shared" si="55"/>
        <v>0.35818341288693523</v>
      </c>
      <c r="AG44" s="316">
        <f t="shared" si="56"/>
        <v>0.64011779975606875</v>
      </c>
      <c r="AH44" s="316">
        <f t="shared" si="57"/>
        <v>1.6987873569960232E-3</v>
      </c>
      <c r="AI44" s="316">
        <f t="shared" si="58"/>
        <v>0.64181658711306477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296">
        <v>0.5</v>
      </c>
      <c r="AP44" s="314" t="e">
        <f t="shared" si="63"/>
        <v>#VALUE!</v>
      </c>
      <c r="AQ44" s="294" t="e">
        <f t="shared" si="64"/>
        <v>#VALUE!</v>
      </c>
      <c r="AR44" s="315" t="e">
        <f t="shared" si="65"/>
        <v>#VALUE!</v>
      </c>
      <c r="AS44" s="315" t="e">
        <f t="shared" si="66"/>
        <v>#VALUE!</v>
      </c>
      <c r="AT44" s="316" t="e">
        <f t="shared" si="67"/>
        <v>#VALUE!</v>
      </c>
      <c r="AU44" s="316" t="e">
        <f t="shared" si="68"/>
        <v>#VALUE!</v>
      </c>
      <c r="AV44" s="316" t="e">
        <f t="shared" si="68"/>
        <v>#VALUE!</v>
      </c>
      <c r="AW44" s="338" t="e">
        <f t="shared" si="68"/>
        <v>#VALUE!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-0.15681634382822809</v>
      </c>
      <c r="AC45" s="294">
        <f t="shared" si="52"/>
        <v>1.9744328078140998</v>
      </c>
      <c r="AD45" s="315">
        <f t="shared" si="53"/>
        <v>0.41224576648947142</v>
      </c>
      <c r="AE45" s="315">
        <f t="shared" si="54"/>
        <v>0.99738301409319163</v>
      </c>
      <c r="AF45" s="316">
        <f t="shared" si="55"/>
        <v>0.40962878058266305</v>
      </c>
      <c r="AG45" s="316">
        <f t="shared" si="56"/>
        <v>0.58775423351052858</v>
      </c>
      <c r="AH45" s="316">
        <f t="shared" si="57"/>
        <v>2.6169859068083667E-3</v>
      </c>
      <c r="AI45" s="316">
        <f t="shared" si="58"/>
        <v>0.59037121941733695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296">
        <f>1-$C$14</f>
        <v>0.75</v>
      </c>
      <c r="AP45" s="314" t="e">
        <f t="shared" si="63"/>
        <v>#VALUE!</v>
      </c>
      <c r="AQ45" s="294" t="e">
        <f t="shared" si="64"/>
        <v>#VALUE!</v>
      </c>
      <c r="AR45" s="315" t="e">
        <f t="shared" si="65"/>
        <v>#VALUE!</v>
      </c>
      <c r="AS45" s="315" t="e">
        <f t="shared" si="66"/>
        <v>#VALUE!</v>
      </c>
      <c r="AT45" s="316" t="e">
        <f t="shared" si="67"/>
        <v>#VALUE!</v>
      </c>
      <c r="AU45" s="316" t="e">
        <f t="shared" si="68"/>
        <v>#VALUE!</v>
      </c>
      <c r="AV45" s="316" t="e">
        <f t="shared" si="68"/>
        <v>#VALUE!</v>
      </c>
      <c r="AW45" s="338" t="e">
        <f t="shared" si="68"/>
        <v>#VALUE!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-5.9941382389940318E-2</v>
      </c>
      <c r="AC46" s="294">
        <f t="shared" si="52"/>
        <v>1.877557846375812</v>
      </c>
      <c r="AD46" s="315">
        <f t="shared" si="53"/>
        <v>0.46622215552105661</v>
      </c>
      <c r="AE46" s="315">
        <f t="shared" si="54"/>
        <v>0.99603772617735653</v>
      </c>
      <c r="AF46" s="316">
        <f t="shared" si="55"/>
        <v>0.46225988169841314</v>
      </c>
      <c r="AG46" s="316">
        <f t="shared" si="56"/>
        <v>0.53377784447894339</v>
      </c>
      <c r="AH46" s="316">
        <f t="shared" si="57"/>
        <v>3.9622738226434695E-3</v>
      </c>
      <c r="AI46" s="316">
        <f t="shared" si="58"/>
        <v>0.53774011830158686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296">
        <f>AO45</f>
        <v>0.75</v>
      </c>
      <c r="AP46" s="314" t="e">
        <f t="shared" si="63"/>
        <v>#VALUE!</v>
      </c>
      <c r="AQ46" s="294" t="e">
        <f t="shared" si="64"/>
        <v>#VALUE!</v>
      </c>
      <c r="AR46" s="315" t="e">
        <f t="shared" si="65"/>
        <v>#VALUE!</v>
      </c>
      <c r="AS46" s="315" t="e">
        <f t="shared" si="66"/>
        <v>#VALUE!</v>
      </c>
      <c r="AT46" s="316" t="e">
        <f t="shared" si="67"/>
        <v>#VALUE!</v>
      </c>
      <c r="AU46" s="316" t="e">
        <f t="shared" si="68"/>
        <v>#VALUE!</v>
      </c>
      <c r="AV46" s="316" t="e">
        <f t="shared" si="68"/>
        <v>#VALUE!</v>
      </c>
      <c r="AW46" s="338" t="e">
        <f t="shared" si="68"/>
        <v>#VALUE!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3.6933579048347286E-2</v>
      </c>
      <c r="AC47" s="294">
        <f t="shared" si="52"/>
        <v>1.7806828849375245</v>
      </c>
      <c r="AD47" s="315">
        <f t="shared" si="53"/>
        <v>0.5208280697031662</v>
      </c>
      <c r="AE47" s="315">
        <f t="shared" si="54"/>
        <v>0.99410328719141228</v>
      </c>
      <c r="AF47" s="316">
        <f t="shared" si="55"/>
        <v>0.51493135689457858</v>
      </c>
      <c r="AG47" s="316">
        <f t="shared" si="56"/>
        <v>0.4791719302968338</v>
      </c>
      <c r="AH47" s="316">
        <f t="shared" si="57"/>
        <v>5.896712808587723E-3</v>
      </c>
      <c r="AI47" s="316">
        <f t="shared" si="58"/>
        <v>0.48506864310542142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37">
        <v>0.5</v>
      </c>
      <c r="AP47" s="314" t="e">
        <f t="shared" si="63"/>
        <v>#VALUE!</v>
      </c>
      <c r="AQ47" s="294" t="e">
        <f t="shared" si="64"/>
        <v>#VALUE!</v>
      </c>
      <c r="AR47" s="315" t="e">
        <f t="shared" si="65"/>
        <v>#VALUE!</v>
      </c>
      <c r="AS47" s="315" t="e">
        <f t="shared" si="66"/>
        <v>#VALUE!</v>
      </c>
      <c r="AT47" s="316" t="e">
        <f t="shared" si="67"/>
        <v>#VALUE!</v>
      </c>
      <c r="AU47" s="316" t="e">
        <f t="shared" si="68"/>
        <v>#VALUE!</v>
      </c>
      <c r="AV47" s="316" t="e">
        <f t="shared" si="68"/>
        <v>#VALUE!</v>
      </c>
      <c r="AW47" s="338" t="e">
        <f t="shared" si="68"/>
        <v>#VALUE!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0.13380854048663487</v>
      </c>
      <c r="AC48" s="294">
        <f t="shared" si="52"/>
        <v>1.6838079234992367</v>
      </c>
      <c r="AD48" s="315">
        <f t="shared" si="53"/>
        <v>0.5750452318346585</v>
      </c>
      <c r="AE48" s="315">
        <f t="shared" si="54"/>
        <v>0.99137332899759545</v>
      </c>
      <c r="AF48" s="316">
        <f t="shared" si="55"/>
        <v>0.56641856083225406</v>
      </c>
      <c r="AG48" s="316">
        <f t="shared" si="56"/>
        <v>0.4249547681653415</v>
      </c>
      <c r="AH48" s="316">
        <f t="shared" si="57"/>
        <v>8.6266710024045512E-3</v>
      </c>
      <c r="AI48" s="316">
        <f t="shared" si="58"/>
        <v>0.43358143916774594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 t="e">
        <f t="shared" si="63"/>
        <v>#VALUE!</v>
      </c>
      <c r="AQ48" s="294" t="e">
        <f t="shared" si="64"/>
        <v>#VALUE!</v>
      </c>
      <c r="AR48" s="315" t="e">
        <f t="shared" si="65"/>
        <v>#VALUE!</v>
      </c>
      <c r="AS48" s="315" t="e">
        <f t="shared" si="66"/>
        <v>#VALUE!</v>
      </c>
      <c r="AT48" s="316" t="e">
        <f t="shared" si="67"/>
        <v>#VALUE!</v>
      </c>
      <c r="AU48" s="316" t="e">
        <f t="shared" si="68"/>
        <v>#VALUE!</v>
      </c>
      <c r="AV48" s="316" t="e">
        <f t="shared" si="68"/>
        <v>#VALUE!</v>
      </c>
      <c r="AW48" s="338" t="e">
        <f t="shared" si="68"/>
        <v>#VALUE!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0.2306835019249226</v>
      </c>
      <c r="AC49" s="294">
        <f t="shared" si="52"/>
        <v>1.5869329620609491</v>
      </c>
      <c r="AD49" s="315">
        <f t="shared" si="53"/>
        <v>0.62787699754610715</v>
      </c>
      <c r="AE49" s="315">
        <f t="shared" si="54"/>
        <v>0.98759222929080659</v>
      </c>
      <c r="AF49" s="316">
        <f t="shared" si="55"/>
        <v>0.61546922683691374</v>
      </c>
      <c r="AG49" s="316">
        <f t="shared" si="56"/>
        <v>0.37212300245389285</v>
      </c>
      <c r="AH49" s="316">
        <f t="shared" si="57"/>
        <v>1.2407770709193411E-2</v>
      </c>
      <c r="AI49" s="316">
        <f t="shared" si="58"/>
        <v>0.38453077316308626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 t="e">
        <f t="shared" si="63"/>
        <v>#VALUE!</v>
      </c>
      <c r="AQ49" s="294" t="e">
        <f t="shared" si="64"/>
        <v>#VALUE!</v>
      </c>
      <c r="AR49" s="315" t="e">
        <f t="shared" si="65"/>
        <v>#VALUE!</v>
      </c>
      <c r="AS49" s="315" t="e">
        <f t="shared" si="66"/>
        <v>#VALUE!</v>
      </c>
      <c r="AT49" s="316" t="e">
        <f t="shared" si="67"/>
        <v>#VALUE!</v>
      </c>
      <c r="AU49" s="316" t="e">
        <f t="shared" si="68"/>
        <v>#VALUE!</v>
      </c>
      <c r="AV49" s="316" t="e">
        <f t="shared" si="68"/>
        <v>#VALUE!</v>
      </c>
      <c r="AW49" s="338" t="e">
        <f t="shared" si="68"/>
        <v>#VALUE!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0.32755846336321021</v>
      </c>
      <c r="AC50" s="294">
        <f t="shared" si="52"/>
        <v>1.4900580006226614</v>
      </c>
      <c r="AD50" s="315">
        <f t="shared" si="53"/>
        <v>0.67840297377278835</v>
      </c>
      <c r="AE50" s="315">
        <f t="shared" si="54"/>
        <v>0.98245248581268552</v>
      </c>
      <c r="AF50" s="316">
        <f t="shared" si="55"/>
        <v>0.66085545958547387</v>
      </c>
      <c r="AG50" s="316">
        <f t="shared" si="56"/>
        <v>0.32159702622721165</v>
      </c>
      <c r="AH50" s="316">
        <f t="shared" si="57"/>
        <v>1.7547514187314484E-2</v>
      </c>
      <c r="AI50" s="316">
        <f t="shared" si="58"/>
        <v>0.33914454041452613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 t="e">
        <f t="shared" si="63"/>
        <v>#VALUE!</v>
      </c>
      <c r="AQ50" s="294" t="e">
        <f t="shared" si="64"/>
        <v>#VALUE!</v>
      </c>
      <c r="AR50" s="315" t="e">
        <f t="shared" si="65"/>
        <v>#VALUE!</v>
      </c>
      <c r="AS50" s="315" t="e">
        <f t="shared" si="66"/>
        <v>#VALUE!</v>
      </c>
      <c r="AT50" s="316" t="e">
        <f t="shared" si="67"/>
        <v>#VALUE!</v>
      </c>
      <c r="AU50" s="316" t="e">
        <f t="shared" si="68"/>
        <v>#VALUE!</v>
      </c>
      <c r="AV50" s="316" t="e">
        <f t="shared" si="68"/>
        <v>#VALUE!</v>
      </c>
      <c r="AW50" s="338" t="e">
        <f t="shared" si="68"/>
        <v>#VALUE!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0.42443342480149782</v>
      </c>
      <c r="AC51" s="294">
        <f t="shared" si="52"/>
        <v>1.3931830391843738</v>
      </c>
      <c r="AD51" s="315">
        <f t="shared" si="53"/>
        <v>0.72582668569970055</v>
      </c>
      <c r="AE51" s="315">
        <f t="shared" si="54"/>
        <v>0.97559561532277206</v>
      </c>
      <c r="AF51" s="316">
        <f t="shared" si="55"/>
        <v>0.70142230102247272</v>
      </c>
      <c r="AG51" s="316">
        <f t="shared" si="56"/>
        <v>0.27417331430029945</v>
      </c>
      <c r="AH51" s="316">
        <f t="shared" si="57"/>
        <v>2.4404384677227942E-2</v>
      </c>
      <c r="AI51" s="316">
        <f t="shared" si="58"/>
        <v>0.29857769897752728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 t="e">
        <f t="shared" si="63"/>
        <v>#VALUE!</v>
      </c>
      <c r="AQ51" s="294" t="e">
        <f t="shared" si="64"/>
        <v>#VALUE!</v>
      </c>
      <c r="AR51" s="315" t="e">
        <f t="shared" si="65"/>
        <v>#VALUE!</v>
      </c>
      <c r="AS51" s="315" t="e">
        <f t="shared" si="66"/>
        <v>#VALUE!</v>
      </c>
      <c r="AT51" s="316" t="e">
        <f t="shared" si="67"/>
        <v>#VALUE!</v>
      </c>
      <c r="AU51" s="316" t="e">
        <f t="shared" si="68"/>
        <v>#VALUE!</v>
      </c>
      <c r="AV51" s="316" t="e">
        <f t="shared" si="68"/>
        <v>#VALUE!</v>
      </c>
      <c r="AW51" s="338" t="e">
        <f t="shared" si="68"/>
        <v>#VALUE!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0.52130838623978548</v>
      </c>
      <c r="AC52" s="294">
        <f t="shared" si="52"/>
        <v>1.2963080777460863</v>
      </c>
      <c r="AD52" s="315">
        <f t="shared" si="53"/>
        <v>0.76951221635918376</v>
      </c>
      <c r="AE52" s="315">
        <f t="shared" si="54"/>
        <v>0.96661777980485397</v>
      </c>
      <c r="AF52" s="316">
        <f t="shared" si="55"/>
        <v>0.73612999616403774</v>
      </c>
      <c r="AG52" s="316">
        <f t="shared" si="56"/>
        <v>0.23048778364081624</v>
      </c>
      <c r="AH52" s="316">
        <f t="shared" si="57"/>
        <v>3.3382220195146028E-2</v>
      </c>
      <c r="AI52" s="316">
        <f t="shared" si="58"/>
        <v>0.26387000383596226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 t="e">
        <f t="shared" si="63"/>
        <v>#VALUE!</v>
      </c>
      <c r="AQ52" s="294" t="e">
        <f t="shared" si="64"/>
        <v>#VALUE!</v>
      </c>
      <c r="AR52" s="315" t="e">
        <f t="shared" si="65"/>
        <v>#VALUE!</v>
      </c>
      <c r="AS52" s="315" t="e">
        <f t="shared" si="66"/>
        <v>#VALUE!</v>
      </c>
      <c r="AT52" s="316" t="e">
        <f t="shared" si="67"/>
        <v>#VALUE!</v>
      </c>
      <c r="AU52" s="316" t="e">
        <f t="shared" si="68"/>
        <v>#VALUE!</v>
      </c>
      <c r="AV52" s="316" t="e">
        <f t="shared" si="68"/>
        <v>#VALUE!</v>
      </c>
      <c r="AW52" s="338" t="e">
        <f t="shared" si="68"/>
        <v>#VALUE!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0.61818334767807304</v>
      </c>
      <c r="AC53" s="294">
        <f t="shared" si="52"/>
        <v>1.1994331163077987</v>
      </c>
      <c r="AD53" s="315">
        <f t="shared" si="53"/>
        <v>0.80900710799113373</v>
      </c>
      <c r="AE53" s="315">
        <f t="shared" si="54"/>
        <v>0.95508116097649287</v>
      </c>
      <c r="AF53" s="316">
        <f t="shared" si="55"/>
        <v>0.76408826896762649</v>
      </c>
      <c r="AG53" s="316">
        <f t="shared" si="56"/>
        <v>0.19099289200886627</v>
      </c>
      <c r="AH53" s="316">
        <f t="shared" si="57"/>
        <v>4.4918839023507129E-2</v>
      </c>
      <c r="AI53" s="316">
        <f t="shared" si="58"/>
        <v>0.23591173103237351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 t="e">
        <f t="shared" si="63"/>
        <v>#VALUE!</v>
      </c>
      <c r="AQ53" s="294" t="e">
        <f t="shared" si="64"/>
        <v>#VALUE!</v>
      </c>
      <c r="AR53" s="315" t="e">
        <f t="shared" si="65"/>
        <v>#VALUE!</v>
      </c>
      <c r="AS53" s="315" t="e">
        <f t="shared" si="66"/>
        <v>#VALUE!</v>
      </c>
      <c r="AT53" s="316" t="e">
        <f t="shared" si="67"/>
        <v>#VALUE!</v>
      </c>
      <c r="AU53" s="316" t="e">
        <f t="shared" si="68"/>
        <v>#VALUE!</v>
      </c>
      <c r="AV53" s="316" t="e">
        <f t="shared" si="68"/>
        <v>#VALUE!</v>
      </c>
      <c r="AW53" s="338" t="e">
        <f t="shared" si="68"/>
        <v>#VALUE!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0.71505830911636059</v>
      </c>
      <c r="AC54" s="294">
        <f t="shared" si="52"/>
        <v>1.1025581548695111</v>
      </c>
      <c r="AD54" s="315">
        <f t="shared" si="53"/>
        <v>0.8440504465399481</v>
      </c>
      <c r="AE54" s="315">
        <f t="shared" si="54"/>
        <v>0.94053170849543766</v>
      </c>
      <c r="AF54" s="316">
        <f t="shared" si="55"/>
        <v>0.78458215503538575</v>
      </c>
      <c r="AG54" s="316">
        <f t="shared" si="56"/>
        <v>0.1559495534600519</v>
      </c>
      <c r="AH54" s="316">
        <f t="shared" si="57"/>
        <v>5.9468291504562343E-2</v>
      </c>
      <c r="AI54" s="316">
        <f t="shared" si="58"/>
        <v>0.21541784496461425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 t="e">
        <f t="shared" si="63"/>
        <v>#VALUE!</v>
      </c>
      <c r="AQ54" s="294" t="e">
        <f t="shared" si="64"/>
        <v>#VALUE!</v>
      </c>
      <c r="AR54" s="315" t="e">
        <f t="shared" si="65"/>
        <v>#VALUE!</v>
      </c>
      <c r="AS54" s="315" t="e">
        <f t="shared" si="66"/>
        <v>#VALUE!</v>
      </c>
      <c r="AT54" s="316" t="e">
        <f t="shared" si="67"/>
        <v>#VALUE!</v>
      </c>
      <c r="AU54" s="316" t="e">
        <f t="shared" si="68"/>
        <v>#VALUE!</v>
      </c>
      <c r="AV54" s="316" t="e">
        <f t="shared" si="68"/>
        <v>#VALUE!</v>
      </c>
      <c r="AW54" s="338" t="e">
        <f t="shared" si="68"/>
        <v>#VALUE!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0.81193327055464815</v>
      </c>
      <c r="AC55" s="294">
        <f t="shared" si="52"/>
        <v>1.0056831934312236</v>
      </c>
      <c r="AD55" s="315">
        <f t="shared" si="53"/>
        <v>0.8745667030039358</v>
      </c>
      <c r="AE55" s="315">
        <f t="shared" si="54"/>
        <v>0.92252327359785102</v>
      </c>
      <c r="AF55" s="316">
        <f t="shared" si="55"/>
        <v>0.79708997660178671</v>
      </c>
      <c r="AG55" s="316">
        <f t="shared" si="56"/>
        <v>0.1254332969960642</v>
      </c>
      <c r="AH55" s="316">
        <f t="shared" si="57"/>
        <v>7.7476726402148977E-2</v>
      </c>
      <c r="AI55" s="316">
        <f t="shared" si="58"/>
        <v>0.20291002339821329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 t="e">
        <f t="shared" si="63"/>
        <v>#VALUE!</v>
      </c>
      <c r="AQ55" s="294" t="e">
        <f t="shared" si="64"/>
        <v>#VALUE!</v>
      </c>
      <c r="AR55" s="315" t="e">
        <f t="shared" si="65"/>
        <v>#VALUE!</v>
      </c>
      <c r="AS55" s="315" t="e">
        <f t="shared" si="66"/>
        <v>#VALUE!</v>
      </c>
      <c r="AT55" s="316" t="e">
        <f t="shared" si="67"/>
        <v>#VALUE!</v>
      </c>
      <c r="AU55" s="316" t="e">
        <f t="shared" si="68"/>
        <v>#VALUE!</v>
      </c>
      <c r="AV55" s="316" t="e">
        <f t="shared" si="68"/>
        <v>#VALUE!</v>
      </c>
      <c r="AW55" s="338" t="e">
        <f t="shared" si="68"/>
        <v>#VALUE!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0.90880823199293581</v>
      </c>
      <c r="AC56" s="294">
        <f t="shared" si="52"/>
        <v>0.90880823199293592</v>
      </c>
      <c r="AD56" s="315">
        <f t="shared" si="53"/>
        <v>0.90064734445394856</v>
      </c>
      <c r="AE56" s="315">
        <f t="shared" si="54"/>
        <v>0.90064734445394856</v>
      </c>
      <c r="AF56" s="316">
        <f t="shared" si="55"/>
        <v>0.80129468890789712</v>
      </c>
      <c r="AG56" s="316">
        <f t="shared" si="56"/>
        <v>9.9352655546051438E-2</v>
      </c>
      <c r="AH56" s="316">
        <f t="shared" si="57"/>
        <v>9.9352655546051438E-2</v>
      </c>
      <c r="AI56" s="316">
        <f t="shared" si="58"/>
        <v>0.19870531109210288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 t="e">
        <f t="shared" si="63"/>
        <v>#VALUE!</v>
      </c>
      <c r="AQ56" s="294" t="e">
        <f t="shared" si="64"/>
        <v>#VALUE!</v>
      </c>
      <c r="AR56" s="315" t="e">
        <f t="shared" si="65"/>
        <v>#VALUE!</v>
      </c>
      <c r="AS56" s="315" t="e">
        <f t="shared" si="66"/>
        <v>#VALUE!</v>
      </c>
      <c r="AT56" s="316" t="e">
        <f t="shared" si="67"/>
        <v>#VALUE!</v>
      </c>
      <c r="AU56" s="316" t="e">
        <f t="shared" si="68"/>
        <v>#VALUE!</v>
      </c>
      <c r="AV56" s="316" t="e">
        <f t="shared" si="68"/>
        <v>#VALUE!</v>
      </c>
      <c r="AW56" s="338" t="e">
        <f t="shared" si="68"/>
        <v>#VALUE!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1.0056831934312234</v>
      </c>
      <c r="AC57" s="294">
        <f t="shared" si="52"/>
        <v>0.81193327055464848</v>
      </c>
      <c r="AD57" s="315">
        <f t="shared" si="53"/>
        <v>0.92252327359785102</v>
      </c>
      <c r="AE57" s="315">
        <f t="shared" si="54"/>
        <v>0.87456670300393591</v>
      </c>
      <c r="AF57" s="316">
        <f t="shared" si="55"/>
        <v>0.79708997660178693</v>
      </c>
      <c r="AG57" s="316">
        <f t="shared" si="56"/>
        <v>7.7476726402148977E-2</v>
      </c>
      <c r="AH57" s="316">
        <f t="shared" si="57"/>
        <v>0.12543329699606409</v>
      </c>
      <c r="AI57" s="316">
        <f t="shared" si="58"/>
        <v>0.20291002339821307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 t="e">
        <f t="shared" si="63"/>
        <v>#VALUE!</v>
      </c>
      <c r="AQ57" s="294" t="e">
        <f t="shared" si="64"/>
        <v>#VALUE!</v>
      </c>
      <c r="AR57" s="315" t="e">
        <f t="shared" si="65"/>
        <v>#VALUE!</v>
      </c>
      <c r="AS57" s="315" t="e">
        <f t="shared" si="66"/>
        <v>#VALUE!</v>
      </c>
      <c r="AT57" s="316" t="e">
        <f t="shared" si="67"/>
        <v>#VALUE!</v>
      </c>
      <c r="AU57" s="316" t="e">
        <f t="shared" si="68"/>
        <v>#VALUE!</v>
      </c>
      <c r="AV57" s="316" t="e">
        <f t="shared" si="68"/>
        <v>#VALUE!</v>
      </c>
      <c r="AW57" s="338" t="e">
        <f t="shared" si="68"/>
        <v>#VALUE!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1.1025581548695111</v>
      </c>
      <c r="AC58" s="294">
        <f t="shared" si="52"/>
        <v>0.7150583091163607</v>
      </c>
      <c r="AD58" s="315">
        <f t="shared" si="53"/>
        <v>0.94053170849543766</v>
      </c>
      <c r="AE58" s="315">
        <f t="shared" si="54"/>
        <v>0.84405044653994821</v>
      </c>
      <c r="AF58" s="316">
        <f t="shared" si="55"/>
        <v>0.78458215503538575</v>
      </c>
      <c r="AG58" s="316">
        <f t="shared" si="56"/>
        <v>5.9468291504562343E-2</v>
      </c>
      <c r="AH58" s="316">
        <f t="shared" si="57"/>
        <v>0.15594955346005179</v>
      </c>
      <c r="AI58" s="316">
        <f t="shared" si="58"/>
        <v>0.21541784496461425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 t="e">
        <f t="shared" si="63"/>
        <v>#VALUE!</v>
      </c>
      <c r="AQ58" s="294" t="e">
        <f t="shared" si="64"/>
        <v>#VALUE!</v>
      </c>
      <c r="AR58" s="315" t="e">
        <f t="shared" si="65"/>
        <v>#VALUE!</v>
      </c>
      <c r="AS58" s="315" t="e">
        <f t="shared" si="66"/>
        <v>#VALUE!</v>
      </c>
      <c r="AT58" s="316" t="e">
        <f t="shared" si="67"/>
        <v>#VALUE!</v>
      </c>
      <c r="AU58" s="316" t="e">
        <f t="shared" si="68"/>
        <v>#VALUE!</v>
      </c>
      <c r="AV58" s="316" t="e">
        <f t="shared" si="68"/>
        <v>#VALUE!</v>
      </c>
      <c r="AW58" s="338" t="e">
        <f t="shared" si="68"/>
        <v>#VALUE!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1.1994331163077987</v>
      </c>
      <c r="AC59" s="294">
        <f t="shared" si="52"/>
        <v>0.61818334767807315</v>
      </c>
      <c r="AD59" s="315">
        <f t="shared" si="53"/>
        <v>0.95508116097649287</v>
      </c>
      <c r="AE59" s="315">
        <f t="shared" si="54"/>
        <v>0.80900710799113384</v>
      </c>
      <c r="AF59" s="316">
        <f t="shared" si="55"/>
        <v>0.76408826896762672</v>
      </c>
      <c r="AG59" s="316">
        <f t="shared" si="56"/>
        <v>4.4918839023507129E-2</v>
      </c>
      <c r="AH59" s="316">
        <f t="shared" si="57"/>
        <v>0.19099289200886616</v>
      </c>
      <c r="AI59" s="316">
        <f t="shared" si="58"/>
        <v>0.23591173103237328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 t="e">
        <f t="shared" si="63"/>
        <v>#VALUE!</v>
      </c>
      <c r="AQ59" s="294" t="e">
        <f t="shared" si="64"/>
        <v>#VALUE!</v>
      </c>
      <c r="AR59" s="315" t="e">
        <f t="shared" si="65"/>
        <v>#VALUE!</v>
      </c>
      <c r="AS59" s="315" t="e">
        <f t="shared" si="66"/>
        <v>#VALUE!</v>
      </c>
      <c r="AT59" s="316" t="e">
        <f t="shared" si="67"/>
        <v>#VALUE!</v>
      </c>
      <c r="AU59" s="316" t="e">
        <f t="shared" si="68"/>
        <v>#VALUE!</v>
      </c>
      <c r="AV59" s="316" t="e">
        <f t="shared" si="68"/>
        <v>#VALUE!</v>
      </c>
      <c r="AW59" s="338" t="e">
        <f t="shared" si="68"/>
        <v>#VALUE!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1.2963080777460865</v>
      </c>
      <c r="AC60" s="294">
        <f t="shared" si="52"/>
        <v>0.52130838623978537</v>
      </c>
      <c r="AD60" s="315">
        <f t="shared" si="53"/>
        <v>0.96661777980485397</v>
      </c>
      <c r="AE60" s="315">
        <f t="shared" si="54"/>
        <v>0.76951221635918388</v>
      </c>
      <c r="AF60" s="316">
        <f t="shared" si="55"/>
        <v>0.73612999616403796</v>
      </c>
      <c r="AG60" s="316">
        <f t="shared" si="56"/>
        <v>3.3382220195146028E-2</v>
      </c>
      <c r="AH60" s="316">
        <f t="shared" si="57"/>
        <v>0.23048778364081612</v>
      </c>
      <c r="AI60" s="316">
        <f t="shared" si="58"/>
        <v>0.26387000383596204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 t="e">
        <f t="shared" si="63"/>
        <v>#VALUE!</v>
      </c>
      <c r="AQ60" s="294" t="e">
        <f t="shared" si="64"/>
        <v>#VALUE!</v>
      </c>
      <c r="AR60" s="315" t="e">
        <f t="shared" si="65"/>
        <v>#VALUE!</v>
      </c>
      <c r="AS60" s="315" t="e">
        <f t="shared" si="66"/>
        <v>#VALUE!</v>
      </c>
      <c r="AT60" s="316" t="e">
        <f t="shared" si="67"/>
        <v>#VALUE!</v>
      </c>
      <c r="AU60" s="316" t="e">
        <f t="shared" si="68"/>
        <v>#VALUE!</v>
      </c>
      <c r="AV60" s="316" t="e">
        <f t="shared" si="68"/>
        <v>#VALUE!</v>
      </c>
      <c r="AW60" s="338" t="e">
        <f t="shared" si="68"/>
        <v>#VALUE!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1.3931830391843743</v>
      </c>
      <c r="AC61" s="294">
        <f t="shared" si="52"/>
        <v>0.42443342480149748</v>
      </c>
      <c r="AD61" s="315">
        <f t="shared" si="53"/>
        <v>0.97559561532277206</v>
      </c>
      <c r="AE61" s="315">
        <f t="shared" si="54"/>
        <v>0.72582668569970044</v>
      </c>
      <c r="AF61" s="316">
        <f t="shared" si="55"/>
        <v>0.70142230102247249</v>
      </c>
      <c r="AG61" s="316">
        <f t="shared" si="56"/>
        <v>2.4404384677227942E-2</v>
      </c>
      <c r="AH61" s="316">
        <f t="shared" si="57"/>
        <v>0.27417331430029956</v>
      </c>
      <c r="AI61" s="316">
        <f t="shared" si="58"/>
        <v>0.29857769897752751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 t="e">
        <f t="shared" si="63"/>
        <v>#VALUE!</v>
      </c>
      <c r="AQ61" s="294" t="e">
        <f t="shared" si="64"/>
        <v>#VALUE!</v>
      </c>
      <c r="AR61" s="315" t="e">
        <f t="shared" si="65"/>
        <v>#VALUE!</v>
      </c>
      <c r="AS61" s="315" t="e">
        <f t="shared" si="66"/>
        <v>#VALUE!</v>
      </c>
      <c r="AT61" s="316" t="e">
        <f t="shared" si="67"/>
        <v>#VALUE!</v>
      </c>
      <c r="AU61" s="316" t="e">
        <f t="shared" si="68"/>
        <v>#VALUE!</v>
      </c>
      <c r="AV61" s="316" t="e">
        <f t="shared" si="68"/>
        <v>#VALUE!</v>
      </c>
      <c r="AW61" s="338" t="e">
        <f t="shared" si="68"/>
        <v>#VALUE!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1.4900580006226618</v>
      </c>
      <c r="AC62" s="294">
        <f t="shared" si="52"/>
        <v>0.32755846336320987</v>
      </c>
      <c r="AD62" s="315">
        <f t="shared" si="53"/>
        <v>0.98245248581268552</v>
      </c>
      <c r="AE62" s="315">
        <f t="shared" si="54"/>
        <v>0.67840297377278813</v>
      </c>
      <c r="AF62" s="316">
        <f t="shared" si="55"/>
        <v>0.66085545958547365</v>
      </c>
      <c r="AG62" s="316">
        <f t="shared" si="56"/>
        <v>1.7547514187314484E-2</v>
      </c>
      <c r="AH62" s="316">
        <f t="shared" si="57"/>
        <v>0.32159702622721187</v>
      </c>
      <c r="AI62" s="316">
        <f t="shared" si="58"/>
        <v>0.33914454041452635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 t="e">
        <f t="shared" si="63"/>
        <v>#VALUE!</v>
      </c>
      <c r="AQ62" s="294" t="e">
        <f t="shared" si="64"/>
        <v>#VALUE!</v>
      </c>
      <c r="AR62" s="315" t="e">
        <f t="shared" si="65"/>
        <v>#VALUE!</v>
      </c>
      <c r="AS62" s="315" t="e">
        <f t="shared" si="66"/>
        <v>#VALUE!</v>
      </c>
      <c r="AT62" s="316" t="e">
        <f t="shared" si="67"/>
        <v>#VALUE!</v>
      </c>
      <c r="AU62" s="316" t="e">
        <f t="shared" si="68"/>
        <v>#VALUE!</v>
      </c>
      <c r="AV62" s="316" t="e">
        <f t="shared" si="68"/>
        <v>#VALUE!</v>
      </c>
      <c r="AW62" s="338" t="e">
        <f t="shared" si="68"/>
        <v>#VALUE!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1.5869329620609496</v>
      </c>
      <c r="AC63" s="294">
        <f t="shared" si="52"/>
        <v>0.23068350192492229</v>
      </c>
      <c r="AD63" s="315">
        <f t="shared" si="53"/>
        <v>0.98759222929080659</v>
      </c>
      <c r="AE63" s="315">
        <f t="shared" si="54"/>
        <v>0.62787699754610704</v>
      </c>
      <c r="AF63" s="316">
        <f t="shared" si="55"/>
        <v>0.61546922683691374</v>
      </c>
      <c r="AG63" s="316">
        <f t="shared" si="56"/>
        <v>1.2407770709193411E-2</v>
      </c>
      <c r="AH63" s="316">
        <f t="shared" si="57"/>
        <v>0.37212300245389296</v>
      </c>
      <c r="AI63" s="316">
        <f t="shared" si="58"/>
        <v>0.38453077316308626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 t="e">
        <f t="shared" si="63"/>
        <v>#VALUE!</v>
      </c>
      <c r="AQ63" s="294" t="e">
        <f t="shared" si="64"/>
        <v>#VALUE!</v>
      </c>
      <c r="AR63" s="315" t="e">
        <f t="shared" si="65"/>
        <v>#VALUE!</v>
      </c>
      <c r="AS63" s="315" t="e">
        <f t="shared" si="66"/>
        <v>#VALUE!</v>
      </c>
      <c r="AT63" s="316" t="e">
        <f t="shared" si="67"/>
        <v>#VALUE!</v>
      </c>
      <c r="AU63" s="316" t="e">
        <f t="shared" si="68"/>
        <v>#VALUE!</v>
      </c>
      <c r="AV63" s="316" t="e">
        <f t="shared" si="68"/>
        <v>#VALUE!</v>
      </c>
      <c r="AW63" s="338" t="e">
        <f t="shared" si="68"/>
        <v>#VALUE!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1.6838079234992371</v>
      </c>
      <c r="AC64" s="294">
        <f t="shared" si="52"/>
        <v>0.13380854048663449</v>
      </c>
      <c r="AD64" s="315">
        <f t="shared" si="53"/>
        <v>0.99137332899759545</v>
      </c>
      <c r="AE64" s="315">
        <f t="shared" si="54"/>
        <v>0.57504523183465828</v>
      </c>
      <c r="AF64" s="316">
        <f t="shared" si="55"/>
        <v>0.56641856083225361</v>
      </c>
      <c r="AG64" s="316">
        <f t="shared" si="56"/>
        <v>8.6266710024045512E-3</v>
      </c>
      <c r="AH64" s="316">
        <f t="shared" si="57"/>
        <v>0.42495476816534172</v>
      </c>
      <c r="AI64" s="316">
        <f t="shared" si="58"/>
        <v>0.43358143916774639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 t="e">
        <f t="shared" si="63"/>
        <v>#VALUE!</v>
      </c>
      <c r="AQ64" s="294" t="e">
        <f t="shared" si="64"/>
        <v>#VALUE!</v>
      </c>
      <c r="AR64" s="315" t="e">
        <f t="shared" si="65"/>
        <v>#VALUE!</v>
      </c>
      <c r="AS64" s="315" t="e">
        <f t="shared" si="66"/>
        <v>#VALUE!</v>
      </c>
      <c r="AT64" s="316" t="e">
        <f t="shared" si="67"/>
        <v>#VALUE!</v>
      </c>
      <c r="AU64" s="316" t="e">
        <f t="shared" si="68"/>
        <v>#VALUE!</v>
      </c>
      <c r="AV64" s="316" t="e">
        <f t="shared" si="68"/>
        <v>#VALUE!</v>
      </c>
      <c r="AW64" s="338" t="e">
        <f t="shared" si="68"/>
        <v>#VALUE!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1.7806828849375251</v>
      </c>
      <c r="AC65" s="294">
        <f t="shared" si="52"/>
        <v>3.6933579048346675E-2</v>
      </c>
      <c r="AD65" s="315">
        <f t="shared" si="53"/>
        <v>0.99410328719141239</v>
      </c>
      <c r="AE65" s="315">
        <f t="shared" si="54"/>
        <v>0.52082806970316586</v>
      </c>
      <c r="AF65" s="316">
        <f t="shared" si="55"/>
        <v>0.51493135689457814</v>
      </c>
      <c r="AG65" s="316">
        <f t="shared" si="56"/>
        <v>5.8967128085876119E-3</v>
      </c>
      <c r="AH65" s="316">
        <f t="shared" si="57"/>
        <v>0.47917193029683414</v>
      </c>
      <c r="AI65" s="316">
        <f t="shared" si="58"/>
        <v>0.48506864310542186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 t="e">
        <f t="shared" si="63"/>
        <v>#VALUE!</v>
      </c>
      <c r="AQ65" s="294" t="e">
        <f t="shared" si="64"/>
        <v>#VALUE!</v>
      </c>
      <c r="AR65" s="315" t="e">
        <f t="shared" si="65"/>
        <v>#VALUE!</v>
      </c>
      <c r="AS65" s="315" t="e">
        <f t="shared" si="66"/>
        <v>#VALUE!</v>
      </c>
      <c r="AT65" s="316" t="e">
        <f t="shared" si="67"/>
        <v>#VALUE!</v>
      </c>
      <c r="AU65" s="316" t="e">
        <f t="shared" si="68"/>
        <v>#VALUE!</v>
      </c>
      <c r="AV65" s="316" t="e">
        <f t="shared" si="68"/>
        <v>#VALUE!</v>
      </c>
      <c r="AW65" s="338" t="e">
        <f t="shared" si="68"/>
        <v>#VALUE!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1.8775578463758127</v>
      </c>
      <c r="AC66" s="294">
        <f t="shared" si="52"/>
        <v>-5.9941382389940921E-2</v>
      </c>
      <c r="AD66" s="315">
        <f t="shared" si="53"/>
        <v>0.99603772617735653</v>
      </c>
      <c r="AE66" s="315">
        <f t="shared" si="54"/>
        <v>0.46622215552105628</v>
      </c>
      <c r="AF66" s="316">
        <f t="shared" si="55"/>
        <v>0.46225988169841292</v>
      </c>
      <c r="AG66" s="316">
        <f t="shared" si="56"/>
        <v>3.9622738226434695E-3</v>
      </c>
      <c r="AH66" s="316">
        <f t="shared" si="57"/>
        <v>0.53377784447894372</v>
      </c>
      <c r="AI66" s="316">
        <f t="shared" si="58"/>
        <v>0.53774011830158708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 t="e">
        <f t="shared" si="63"/>
        <v>#VALUE!</v>
      </c>
      <c r="AQ66" s="294" t="e">
        <f t="shared" si="64"/>
        <v>#VALUE!</v>
      </c>
      <c r="AR66" s="315" t="e">
        <f t="shared" si="65"/>
        <v>#VALUE!</v>
      </c>
      <c r="AS66" s="315" t="e">
        <f t="shared" si="66"/>
        <v>#VALUE!</v>
      </c>
      <c r="AT66" s="316" t="e">
        <f t="shared" si="67"/>
        <v>#VALUE!</v>
      </c>
      <c r="AU66" s="316" t="e">
        <f t="shared" si="68"/>
        <v>#VALUE!</v>
      </c>
      <c r="AV66" s="316" t="e">
        <f t="shared" si="68"/>
        <v>#VALUE!</v>
      </c>
      <c r="AW66" s="338" t="e">
        <f t="shared" si="68"/>
        <v>#VALUE!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1.9744328078141002</v>
      </c>
      <c r="AC67" s="294">
        <f t="shared" si="52"/>
        <v>-0.15681634382822851</v>
      </c>
      <c r="AD67" s="315">
        <f t="shared" si="53"/>
        <v>0.99738301409319163</v>
      </c>
      <c r="AE67" s="315">
        <f t="shared" si="54"/>
        <v>0.41224576648947125</v>
      </c>
      <c r="AF67" s="316">
        <f t="shared" si="55"/>
        <v>0.40962878058266283</v>
      </c>
      <c r="AG67" s="316">
        <f t="shared" si="56"/>
        <v>2.6169859068083667E-3</v>
      </c>
      <c r="AH67" s="316">
        <f t="shared" si="57"/>
        <v>0.5877542335105288</v>
      </c>
      <c r="AI67" s="316">
        <f t="shared" si="58"/>
        <v>0.59037121941733717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 t="e">
        <f t="shared" si="63"/>
        <v>#VALUE!</v>
      </c>
      <c r="AQ67" s="294" t="e">
        <f t="shared" si="64"/>
        <v>#VALUE!</v>
      </c>
      <c r="AR67" s="315" t="e">
        <f t="shared" si="65"/>
        <v>#VALUE!</v>
      </c>
      <c r="AS67" s="315" t="e">
        <f t="shared" si="66"/>
        <v>#VALUE!</v>
      </c>
      <c r="AT67" s="316" t="e">
        <f t="shared" si="67"/>
        <v>#VALUE!</v>
      </c>
      <c r="AU67" s="316" t="e">
        <f t="shared" si="68"/>
        <v>#VALUE!</v>
      </c>
      <c r="AV67" s="316" t="e">
        <f t="shared" si="68"/>
        <v>#VALUE!</v>
      </c>
      <c r="AW67" s="338" t="e">
        <f t="shared" si="68"/>
        <v>#VALUE!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2.0713077692523876</v>
      </c>
      <c r="AC68" s="294">
        <f t="shared" si="52"/>
        <v>-0.25369130526651612</v>
      </c>
      <c r="AD68" s="315">
        <f t="shared" si="53"/>
        <v>0.99830121264300398</v>
      </c>
      <c r="AE68" s="315">
        <f t="shared" si="54"/>
        <v>0.35988220024393092</v>
      </c>
      <c r="AF68" s="316">
        <f t="shared" si="55"/>
        <v>0.35818341288693478</v>
      </c>
      <c r="AG68" s="316">
        <f t="shared" si="56"/>
        <v>1.6987873569960232E-3</v>
      </c>
      <c r="AH68" s="316">
        <f t="shared" si="57"/>
        <v>0.64011779975606908</v>
      </c>
      <c r="AI68" s="316">
        <f t="shared" si="58"/>
        <v>0.64181658711306522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 t="e">
        <f t="shared" si="63"/>
        <v>#VALUE!</v>
      </c>
      <c r="AQ68" s="294" t="e">
        <f t="shared" si="64"/>
        <v>#VALUE!</v>
      </c>
      <c r="AR68" s="315" t="e">
        <f t="shared" si="65"/>
        <v>#VALUE!</v>
      </c>
      <c r="AS68" s="315" t="e">
        <f t="shared" si="66"/>
        <v>#VALUE!</v>
      </c>
      <c r="AT68" s="316" t="e">
        <f t="shared" si="67"/>
        <v>#VALUE!</v>
      </c>
      <c r="AU68" s="316" t="e">
        <f t="shared" si="68"/>
        <v>#VALUE!</v>
      </c>
      <c r="AV68" s="316" t="e">
        <f t="shared" si="68"/>
        <v>#VALUE!</v>
      </c>
      <c r="AW68" s="338" t="e">
        <f t="shared" si="68"/>
        <v>#VALUE!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1.1928714190539642</v>
      </c>
      <c r="AB69" s="319">
        <f t="shared" si="51"/>
        <v>2.1681827306906754</v>
      </c>
      <c r="AC69" s="319">
        <f t="shared" si="52"/>
        <v>-0.35056626670480373</v>
      </c>
      <c r="AD69" s="320">
        <f t="shared" si="53"/>
        <v>0.99891627494783553</v>
      </c>
      <c r="AE69" s="320">
        <f t="shared" si="54"/>
        <v>0.31002638184641518</v>
      </c>
      <c r="AF69" s="321">
        <f t="shared" si="55"/>
        <v>0.30894265679425059</v>
      </c>
      <c r="AG69" s="321">
        <f t="shared" si="56"/>
        <v>1.0837250521644748E-3</v>
      </c>
      <c r="AH69" s="321">
        <f t="shared" si="57"/>
        <v>0.68997361815358482</v>
      </c>
      <c r="AI69" s="321">
        <f t="shared" si="58"/>
        <v>0.69105734320574941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1.1500000000000004</v>
      </c>
      <c r="AM69" s="322">
        <f t="shared" si="62"/>
        <v>1.1500000000000004</v>
      </c>
      <c r="AP69" s="339" t="e">
        <f t="shared" si="63"/>
        <v>#VALUE!</v>
      </c>
      <c r="AQ69" s="319" t="e">
        <f t="shared" si="64"/>
        <v>#VALUE!</v>
      </c>
      <c r="AR69" s="320" t="e">
        <f t="shared" si="65"/>
        <v>#VALUE!</v>
      </c>
      <c r="AS69" s="320" t="e">
        <f t="shared" si="66"/>
        <v>#VALUE!</v>
      </c>
      <c r="AT69" s="321" t="e">
        <f t="shared" si="67"/>
        <v>#VALUE!</v>
      </c>
      <c r="AU69" s="321" t="e">
        <f t="shared" si="68"/>
        <v>#VALUE!</v>
      </c>
      <c r="AV69" s="321" t="e">
        <f t="shared" si="68"/>
        <v>#VALUE!</v>
      </c>
      <c r="AW69" s="340" t="e">
        <f t="shared" si="68"/>
        <v>#VALUE!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57031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7" t="str">
        <f>Notes!A1</f>
        <v>10GEPBud3_1_16a.xls</v>
      </c>
      <c r="S1" s="488"/>
      <c r="T1" s="488"/>
      <c r="U1" s="488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0.90880823207332784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52.3</v>
      </c>
      <c r="H2" s="120" t="s">
        <v>10</v>
      </c>
      <c r="I2" s="364" t="s">
        <v>1</v>
      </c>
      <c r="J2" s="482" t="s">
        <v>400</v>
      </c>
      <c r="K2" s="482"/>
      <c r="L2" s="483" t="s">
        <v>2</v>
      </c>
      <c r="M2" s="484"/>
      <c r="N2" s="144"/>
      <c r="O2" s="6" t="s">
        <v>139</v>
      </c>
      <c r="P2" s="430">
        <v>0.2918070056205152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0.90880823207332784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79.39139999999999</v>
      </c>
      <c r="H3" s="126" t="s">
        <v>10</v>
      </c>
      <c r="I3" s="245" t="s">
        <v>99</v>
      </c>
      <c r="J3" s="5"/>
      <c r="K3" s="6" t="s">
        <v>8</v>
      </c>
      <c r="L3" s="134">
        <v>40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28">
        <v>-13.4</v>
      </c>
      <c r="U3" s="390" t="s">
        <v>117</v>
      </c>
      <c r="V3" s="172" t="s">
        <v>33</v>
      </c>
      <c r="W3" s="173">
        <f>AO39</f>
        <v>0.58786234716967911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1.9355435652116739</v>
      </c>
      <c r="AH3" s="21" t="s">
        <v>30</v>
      </c>
      <c r="AI3" s="86"/>
      <c r="AJ3" s="127" t="s">
        <v>305</v>
      </c>
      <c r="AK3" s="394">
        <f>ERF(AK1)+ERF(AK2)-1</f>
        <v>0.60258937789522715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30</v>
      </c>
      <c r="M4" s="126" t="s">
        <v>9</v>
      </c>
      <c r="N4" s="121"/>
      <c r="O4" s="122" t="s">
        <v>18</v>
      </c>
      <c r="P4" s="368">
        <f>IF(Uc&gt;1000,$P$2/1.4846,$P$2/3.5)</f>
        <v>0.19655597845919118</v>
      </c>
      <c r="Q4" s="123"/>
      <c r="R4" s="392" t="s">
        <v>57</v>
      </c>
      <c r="S4" s="8" t="s">
        <v>27</v>
      </c>
      <c r="T4" s="115">
        <v>-26</v>
      </c>
      <c r="U4" s="141" t="s">
        <v>23</v>
      </c>
      <c r="V4" s="174" t="s">
        <v>147</v>
      </c>
      <c r="W4" s="29"/>
      <c r="X4" s="213" t="str">
        <f>$L$3&amp;" km"</f>
        <v>40 km</v>
      </c>
      <c r="Y4" s="96"/>
      <c r="AA4" s="127" t="s">
        <v>24</v>
      </c>
      <c r="AB4" s="204">
        <f>0.7*$P$8*$C$7</f>
        <v>1.1848199999999998E-3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0.99380489455980003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0.55696591388012351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</v>
      </c>
      <c r="M5" s="136" t="s">
        <v>9</v>
      </c>
      <c r="N5" s="121"/>
      <c r="O5" s="117" t="s">
        <v>139</v>
      </c>
      <c r="P5" s="16">
        <f>$P$4*((1/(0.00094*Uc)^4)+1.05)</f>
        <v>0.24835170033626183</v>
      </c>
      <c r="Q5" s="123" t="s">
        <v>140</v>
      </c>
      <c r="R5" s="156"/>
      <c r="S5" s="117" t="s">
        <v>43</v>
      </c>
      <c r="T5" s="139">
        <v>7725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1.2589254117941664E-2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0.96783956300092044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1565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15.01</v>
      </c>
      <c r="M6" s="140" t="s">
        <v>23</v>
      </c>
      <c r="N6" s="121"/>
      <c r="O6" s="137" t="s">
        <v>141</v>
      </c>
      <c r="P6" s="7">
        <f>Uc</f>
        <v>1565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1.9968678749407054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7.6015142385425132E-4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41">
        <v>1.8200000000000001E-2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</v>
      </c>
      <c r="M7" s="140" t="s">
        <v>23</v>
      </c>
      <c r="N7" s="121"/>
      <c r="O7" s="117" t="s">
        <v>124</v>
      </c>
      <c r="P7" s="115">
        <v>1300</v>
      </c>
      <c r="Q7" s="123" t="s">
        <v>125</v>
      </c>
      <c r="R7" s="157"/>
      <c r="S7" s="137" t="s">
        <v>47</v>
      </c>
      <c r="T7" s="111">
        <f>T6*1000/$T$5</f>
        <v>42.588996763754047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3.0062839321800414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10">
        <f>3-1.39</f>
        <v>1.61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14.01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</v>
      </c>
      <c r="X8" s="123" t="s">
        <v>23</v>
      </c>
      <c r="Y8" s="96"/>
      <c r="AA8" s="137" t="s">
        <v>153</v>
      </c>
      <c r="AB8" s="16">
        <f>10*LOG10((1+10^(-($W$8/10)))/(1-10^(-($W$8/10))))</f>
        <v>2.2295037120051053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3.0034933022749928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19.06204393716412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2.2295037120051053</v>
      </c>
      <c r="X9" s="123" t="s">
        <v>20</v>
      </c>
      <c r="Y9" s="96"/>
      <c r="AA9" s="404" t="s">
        <v>368</v>
      </c>
      <c r="AB9" s="201">
        <f>$C$11-$AB$8</f>
        <v>2.5507962446347023</v>
      </c>
      <c r="AC9" s="201" t="s">
        <v>20</v>
      </c>
      <c r="AD9" s="198"/>
      <c r="AE9" s="74"/>
      <c r="AF9" s="74" t="s">
        <v>275</v>
      </c>
      <c r="AG9" s="329">
        <f>SQRT(H17^2+$AG$8^2)</f>
        <v>90.704348536594026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MIN(C8+1.77,4)</f>
        <v>3.38</v>
      </c>
      <c r="D10" s="7" t="s">
        <v>117</v>
      </c>
      <c r="E10" s="7"/>
      <c r="F10" s="122" t="s">
        <v>49</v>
      </c>
      <c r="G10" s="115">
        <v>0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1.1025581549670418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4.7802999566398077</v>
      </c>
      <c r="D11" s="7" t="s">
        <v>20</v>
      </c>
      <c r="E11" s="7"/>
      <c r="F11" s="288" t="s">
        <v>50</v>
      </c>
      <c r="G11" s="418">
        <f>$AG$12-2.519*SQRT($AG$6)</f>
        <v>0.49971335479626872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PolMD DGDmax</v>
      </c>
      <c r="P11" s="115">
        <v>19</v>
      </c>
      <c r="Q11" s="175" t="str">
        <f>IF(L2="SMF","ps at target "&amp;L3&amp;M3,"")</f>
        <v>ps at target 40km</v>
      </c>
      <c r="R11" s="157"/>
      <c r="S11" s="7"/>
      <c r="T11" s="154"/>
      <c r="U11" s="160"/>
      <c r="V11" s="464" t="s">
        <v>367</v>
      </c>
      <c r="W11" s="271">
        <f>-10*LOG10(ERF(AQ39)+ERF(AR39) - 1)</f>
        <v>3.0001486726574438</v>
      </c>
      <c r="X11" s="136" t="s">
        <v>20</v>
      </c>
      <c r="Y11" s="96"/>
      <c r="AA11" s="137" t="s">
        <v>294</v>
      </c>
      <c r="AB11" s="10">
        <f>10^(($C$8/10)+3)</f>
        <v>1448.7718535447627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0.71505830917961377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2177.7097723531588</v>
      </c>
      <c r="AC12" s="86" t="s">
        <v>36</v>
      </c>
      <c r="AD12" s="74"/>
      <c r="AE12" s="74"/>
      <c r="AF12" s="127" t="s">
        <v>278</v>
      </c>
      <c r="AG12" s="328">
        <f>ERF(AG10)+ERF(AG11)-1</f>
        <v>0.56916431014620783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408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701754.38596491225</v>
      </c>
      <c r="Q13" s="136" t="s">
        <v>16</v>
      </c>
      <c r="R13" s="161"/>
      <c r="S13" s="147" t="s">
        <v>56</v>
      </c>
      <c r="T13" s="31">
        <f>10*LOG10(1/SQRT(1-(Q*SD_blw/$AG$5)^2))</f>
        <v>7.2958879121507864E-2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4.9670340067252362E-4</v>
      </c>
      <c r="C17" s="44">
        <f t="shared" ref="C17:C38" si="1">$L$7+B17</f>
        <v>1.0004967034006724</v>
      </c>
      <c r="D17" s="177">
        <f t="shared" ref="D17:D38" si="2">A17*$P$9</f>
        <v>3.8124087874328243E-2</v>
      </c>
      <c r="E17" s="44">
        <f t="shared" ref="E17:E38" si="3">A17*$AB$4</f>
        <v>2.3696399999999996E-6</v>
      </c>
      <c r="F17" s="130">
        <f t="shared" ref="F17:F38" si="4">(0.187/$C$7)*10^6/(SQRT(D17^2+E17^2))</f>
        <v>269507438.15162832</v>
      </c>
      <c r="G17" s="45">
        <f t="shared" ref="G17:G38" si="5">$P$13/A17</f>
        <v>350877192.98245609</v>
      </c>
      <c r="H17" s="46">
        <f t="shared" ref="H17:H38" si="6">SQRT((1000*C_1/F17)^2+(1000*C_1/G17)^2+$G$3^2)</f>
        <v>79.391400031763396</v>
      </c>
      <c r="I17" s="46">
        <f t="shared" ref="I17:I38" si="7">SQRT(H17^2+$T$7^2)</f>
        <v>90.09337958111314</v>
      </c>
      <c r="J17" s="424">
        <f t="shared" ref="J17:J38" si="8">-10*LOG10(2*Z17 - 1)</f>
        <v>2.1563602893436955</v>
      </c>
      <c r="K17" s="251">
        <f t="shared" ref="K17:K38" si="9">-10*LOG10(AB17)-J17</f>
        <v>0.24759923696517028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2.394990251058949E-5</v>
      </c>
      <c r="P17" s="44">
        <f t="shared" ref="P17:P38" si="13">($G$10/SQRT(2))*(1-EXP(-1*O17^2))</f>
        <v>0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0.1405300387999964</v>
      </c>
      <c r="T17" s="209">
        <f>J17+L17+B17+Q17+S17+Pmn</f>
        <v>2.2973870315443645</v>
      </c>
      <c r="U17" s="277">
        <f>J17+K17+B17+Q17+S17+Pmn+M17</f>
        <v>2.5449862685095348</v>
      </c>
      <c r="V17" s="178">
        <f t="shared" ref="V17:V38" si="15">T17-B17</f>
        <v>2.2968903281436921</v>
      </c>
      <c r="W17" s="179">
        <f t="shared" ref="W17:W38" si="16">$L$8-T17</f>
        <v>11.712612968455636</v>
      </c>
      <c r="X17" s="455">
        <f t="shared" ref="X17:X38" si="17">$C$8-C17-(Q17+N17+R17+S17/2+Pmn) -$W$3</f>
        <v>-4.8624069970349626E-2</v>
      </c>
      <c r="Y17" s="47">
        <f t="shared" ref="Y17:Y38" si="18">B_1*Tb_eff/(SQRT(8)*I17)</f>
        <v>0.91497132217899269</v>
      </c>
      <c r="Z17" s="49">
        <f t="shared" ref="Z17:Z38" si="19">IF(ABS(Y17)&lt;10,SIGN(Y17)*ERF(ABS(Y17)),SIGN(Y17))</f>
        <v>0.80432243862588593</v>
      </c>
      <c r="AA17" s="395">
        <f>$AD17</f>
        <v>0.60864487725177185</v>
      </c>
      <c r="AB17" s="43">
        <f t="shared" ref="AB17:AB38" si="20">ERF(AE17)+ERF(AF17)-1</f>
        <v>0.57491553941719187</v>
      </c>
      <c r="AC17" s="47">
        <f t="shared" ref="AC17:AC38" si="21">ERF(AG17)+ERF(AH17)-1</f>
        <v>0.57491553941719187</v>
      </c>
      <c r="AD17" s="47">
        <f t="shared" ref="AD17:AD38" si="22">ERF(AI17)+ERF(AJ17)-1</f>
        <v>0.60864487725177185</v>
      </c>
      <c r="AE17" s="50">
        <f t="shared" ref="AE17:AE38" si="23">MAX(MIN(B_1*Tb_eff*($L$13+1)/(SQRT(8)*$I17),10),-10)</f>
        <v>1.1100351616841742</v>
      </c>
      <c r="AF17" s="50">
        <f t="shared" ref="AF17:AF38" si="24">MAX(MIN(B_1*Tb_eff*(1-$L$13)/(SQRT(8)*$I17),10),-10)</f>
        <v>0.71990748267381111</v>
      </c>
      <c r="AG17" s="50">
        <f t="shared" ref="AG17:AG38" si="25">MAX(MIN(B_1*Tb_eff*($L$13+$G$9+1)/(SQRT(8)*$I17),10),-10)</f>
        <v>1.1100351616841742</v>
      </c>
      <c r="AH17" s="50">
        <f t="shared" ref="AH17:AH38" si="26">MAX(MIN(B_1*Tb_eff*(1-$L$13-$G$9)/(SQRT(8)*$I17),10),-10)</f>
        <v>0.71990748267381111</v>
      </c>
      <c r="AI17" s="50">
        <f t="shared" ref="AI17:AI38" si="27">MAX(MIN(B_1*Tb_eff*($G$9+1)/(SQRT(8)*$I17),10),-10)</f>
        <v>0.91497132217899269</v>
      </c>
      <c r="AJ17" s="50">
        <f t="shared" ref="AJ17:AJ38" si="28">MAX(MIN(B_1*Tb_eff*(1-$G$9)/(SQRT(8)*$I17),10),-10)</f>
        <v>0.91497132217899269</v>
      </c>
      <c r="AK17" s="305"/>
      <c r="AL17" s="48">
        <f t="shared" ref="AL17:AL38" si="29">$L$6-$L$7</f>
        <v>14.01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30</v>
      </c>
      <c r="B18" s="52">
        <f t="shared" si="0"/>
        <v>7.4505510100878549</v>
      </c>
      <c r="C18" s="52">
        <f t="shared" si="1"/>
        <v>8.4505510100878549</v>
      </c>
      <c r="D18" s="180">
        <f t="shared" si="2"/>
        <v>571.86131811492362</v>
      </c>
      <c r="E18" s="52">
        <f t="shared" si="3"/>
        <v>3.5544599999999996E-2</v>
      </c>
      <c r="F18" s="53">
        <f t="shared" si="4"/>
        <v>17967.162543441889</v>
      </c>
      <c r="G18" s="53">
        <f t="shared" si="5"/>
        <v>23391.812865497075</v>
      </c>
      <c r="H18" s="54">
        <f t="shared" si="6"/>
        <v>86.242550905903656</v>
      </c>
      <c r="I18" s="54">
        <f t="shared" si="7"/>
        <v>96.185239159137282</v>
      </c>
      <c r="J18" s="425">
        <f t="shared" si="8"/>
        <v>2.6043995975956329</v>
      </c>
      <c r="K18" s="252">
        <f t="shared" si="9"/>
        <v>0.25002274292477544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6.4923150632390361E-2</v>
      </c>
      <c r="O18" s="52">
        <f t="shared" si="12"/>
        <v>0.35924853765884229</v>
      </c>
      <c r="P18" s="52">
        <f t="shared" si="13"/>
        <v>0</v>
      </c>
      <c r="Q18" s="52">
        <f t="shared" si="14"/>
        <v>0</v>
      </c>
      <c r="R18" s="268">
        <f t="shared" ref="R18:R38" si="31">10*LOG10(1/SQRT(1-AK18*(Q/AA18)^2))</f>
        <v>0.23909838431720504</v>
      </c>
      <c r="S18" s="52">
        <f t="shared" ref="S18:S38" si="32">-10*LOG10(AA18*SQRT(1-Q*Q*((SD_blw^2+AK18)/AA18^2+Vmn+(P18*P18))))-$T$13-J18-L18-Q18-N18-R18-Pmn</f>
        <v>0.20000430738260055</v>
      </c>
      <c r="T18" s="282">
        <f t="shared" ref="T18:T38" si="33">J18+L18+B18+Q18+N18+R18+S18+Pmn</f>
        <v>10.558976450015685</v>
      </c>
      <c r="U18" s="278">
        <f t="shared" ref="U18:U38" si="34">J18+K18+B18+Q18+N18+R18+S18+Pmn+M18</f>
        <v>10.80899919294046</v>
      </c>
      <c r="V18" s="181">
        <f t="shared" si="15"/>
        <v>3.1084254399278297</v>
      </c>
      <c r="W18" s="182">
        <f t="shared" si="16"/>
        <v>3.4510235499843152</v>
      </c>
      <c r="X18" s="456">
        <f t="shared" si="17"/>
        <v>-7.8324370458984296</v>
      </c>
      <c r="Y18" s="59">
        <f t="shared" si="18"/>
        <v>0.85702192306785052</v>
      </c>
      <c r="Z18" s="60">
        <f t="shared" si="19"/>
        <v>0.77449222311623411</v>
      </c>
      <c r="AA18" s="300">
        <f t="shared" ref="AA18:AA38" si="35">$AD18*(1-2*$L$10*10^(-$C18/10)*$AB$5*SQRT(2*ER*($AD18*(ER-1)+ER+1))/($AD18*(ER-1)))</f>
        <v>0.5408386563634382</v>
      </c>
      <c r="AB18" s="56">
        <f t="shared" si="20"/>
        <v>0.51827202330842814</v>
      </c>
      <c r="AC18" s="55">
        <f t="shared" si="21"/>
        <v>0.51827202330842814</v>
      </c>
      <c r="AD18" s="55">
        <f t="shared" si="22"/>
        <v>0.54898444623246823</v>
      </c>
      <c r="AE18" s="61">
        <f t="shared" si="23"/>
        <v>1.0397314602975054</v>
      </c>
      <c r="AF18" s="61">
        <f t="shared" si="24"/>
        <v>0.67431238583819564</v>
      </c>
      <c r="AG18" s="61">
        <f t="shared" si="25"/>
        <v>1.0397314602975054</v>
      </c>
      <c r="AH18" s="61">
        <f t="shared" si="26"/>
        <v>0.67431238583819564</v>
      </c>
      <c r="AI18" s="61">
        <f t="shared" si="27"/>
        <v>0.85702192306785052</v>
      </c>
      <c r="AJ18" s="61">
        <f t="shared" si="28"/>
        <v>0.85702192306785052</v>
      </c>
      <c r="AK18" s="306">
        <f t="shared" ref="AK18:AK38" si="36">kRIN*10^6*$AK$7*$AK$7/(SQRT((1/F18)^2+(1/G18)^2+0.477*(1/$T$5)^2))*10^($G$4/10)</f>
        <v>6.1587447340603766E-4</v>
      </c>
      <c r="AL18" s="57">
        <f t="shared" si="29"/>
        <v>14.01</v>
      </c>
      <c r="AM18" s="190">
        <f t="shared" ref="AM18:AM38" si="37">$L$3</f>
        <v>40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31</v>
      </c>
      <c r="B19" s="64">
        <f t="shared" si="0"/>
        <v>7.6989027104241163</v>
      </c>
      <c r="C19" s="64">
        <f t="shared" si="1"/>
        <v>8.6989027104241163</v>
      </c>
      <c r="D19" s="183">
        <f t="shared" si="2"/>
        <v>590.92336205208767</v>
      </c>
      <c r="E19" s="64">
        <f t="shared" si="3"/>
        <v>3.6729419999999992E-2</v>
      </c>
      <c r="F19" s="65">
        <f t="shared" si="4"/>
        <v>17387.576654943765</v>
      </c>
      <c r="G19" s="65">
        <f t="shared" si="5"/>
        <v>22637.238256932655</v>
      </c>
      <c r="H19" s="66">
        <f t="shared" si="6"/>
        <v>86.687315507084207</v>
      </c>
      <c r="I19" s="66">
        <f t="shared" si="7"/>
        <v>96.584229122397687</v>
      </c>
      <c r="J19" s="426">
        <f t="shared" si="8"/>
        <v>2.6349217621457517</v>
      </c>
      <c r="K19" s="253">
        <f t="shared" si="9"/>
        <v>0.25019499608050255</v>
      </c>
      <c r="L19" s="271">
        <f t="shared" si="10"/>
        <v>0</v>
      </c>
      <c r="M19" s="272">
        <f t="shared" si="11"/>
        <v>0</v>
      </c>
      <c r="N19" s="256">
        <f t="shared" si="30"/>
        <v>6.1690807558538507E-2</v>
      </c>
      <c r="O19" s="64">
        <f t="shared" si="12"/>
        <v>0.37122348891413703</v>
      </c>
      <c r="P19" s="64">
        <f t="shared" si="13"/>
        <v>0</v>
      </c>
      <c r="Q19" s="64">
        <f t="shared" si="14"/>
        <v>0</v>
      </c>
      <c r="R19" s="271">
        <f t="shared" si="31"/>
        <v>0.23905065318601793</v>
      </c>
      <c r="S19" s="64">
        <f t="shared" si="32"/>
        <v>0.20367938846649669</v>
      </c>
      <c r="T19" s="344">
        <f t="shared" si="33"/>
        <v>10.838245321780921</v>
      </c>
      <c r="U19" s="279">
        <f t="shared" si="34"/>
        <v>11.088440317861425</v>
      </c>
      <c r="V19" s="168">
        <f t="shared" si="15"/>
        <v>3.1393426113568044</v>
      </c>
      <c r="W19" s="184">
        <f t="shared" si="16"/>
        <v>3.1717546782190791</v>
      </c>
      <c r="X19" s="457">
        <f t="shared" si="17"/>
        <v>-8.0793462125716005</v>
      </c>
      <c r="Y19" s="72">
        <f t="shared" si="18"/>
        <v>0.85348156095381555</v>
      </c>
      <c r="Z19" s="73">
        <f t="shared" si="19"/>
        <v>0.77256985812760093</v>
      </c>
      <c r="AA19" s="301">
        <f t="shared" si="35"/>
        <v>0.53745083632923896</v>
      </c>
      <c r="AB19" s="69">
        <f t="shared" si="20"/>
        <v>0.51462197143469357</v>
      </c>
      <c r="AC19" s="68">
        <f t="shared" si="21"/>
        <v>0.51462197143469357</v>
      </c>
      <c r="AD19" s="68">
        <f t="shared" si="22"/>
        <v>0.54513971625520186</v>
      </c>
      <c r="AE19" s="23">
        <f t="shared" si="23"/>
        <v>1.0354363241151885</v>
      </c>
      <c r="AF19" s="23">
        <f t="shared" si="24"/>
        <v>0.67152679779244262</v>
      </c>
      <c r="AG19" s="23">
        <f t="shared" si="25"/>
        <v>1.0354363241151885</v>
      </c>
      <c r="AH19" s="23">
        <f t="shared" si="26"/>
        <v>0.67152679779244262</v>
      </c>
      <c r="AI19" s="23">
        <f t="shared" si="27"/>
        <v>0.85348156095381555</v>
      </c>
      <c r="AJ19" s="23">
        <f t="shared" si="28"/>
        <v>0.85348156095381555</v>
      </c>
      <c r="AK19" s="295">
        <f t="shared" si="36"/>
        <v>6.080680973267503E-4</v>
      </c>
      <c r="AL19" s="70">
        <f t="shared" si="29"/>
        <v>14.01</v>
      </c>
      <c r="AM19" s="191">
        <f t="shared" si="37"/>
        <v>40</v>
      </c>
      <c r="AN19" s="192">
        <f t="shared" ref="AN19:AN37" si="43">AN20</f>
        <v>16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32</v>
      </c>
      <c r="B20" s="64">
        <f t="shared" si="0"/>
        <v>7.9472544107603786</v>
      </c>
      <c r="C20" s="64">
        <f t="shared" si="1"/>
        <v>8.9472544107603795</v>
      </c>
      <c r="D20" s="183">
        <f t="shared" si="2"/>
        <v>609.98540598925183</v>
      </c>
      <c r="E20" s="64">
        <f t="shared" si="3"/>
        <v>3.7914239999999995E-2</v>
      </c>
      <c r="F20" s="65">
        <f t="shared" si="4"/>
        <v>16844.214884476773</v>
      </c>
      <c r="G20" s="65">
        <f t="shared" si="5"/>
        <v>21929.824561403508</v>
      </c>
      <c r="H20" s="66">
        <f t="shared" si="6"/>
        <v>87.14427975100017</v>
      </c>
      <c r="I20" s="66">
        <f t="shared" si="7"/>
        <v>96.994577882805544</v>
      </c>
      <c r="J20" s="426">
        <f t="shared" si="8"/>
        <v>2.6664660932930544</v>
      </c>
      <c r="K20" s="253">
        <f t="shared" si="9"/>
        <v>0.25037536321734244</v>
      </c>
      <c r="L20" s="271">
        <f t="shared" si="10"/>
        <v>0</v>
      </c>
      <c r="M20" s="272">
        <f t="shared" si="11"/>
        <v>0</v>
      </c>
      <c r="N20" s="256">
        <f t="shared" si="30"/>
        <v>5.8633503909669066E-2</v>
      </c>
      <c r="O20" s="64">
        <f t="shared" si="12"/>
        <v>0.38319844016943183</v>
      </c>
      <c r="P20" s="64">
        <f t="shared" si="13"/>
        <v>0</v>
      </c>
      <c r="Q20" s="64">
        <f t="shared" si="14"/>
        <v>0</v>
      </c>
      <c r="R20" s="271">
        <f t="shared" si="31"/>
        <v>0.23912071357008405</v>
      </c>
      <c r="S20" s="64">
        <f t="shared" si="32"/>
        <v>0.20758850869122733</v>
      </c>
      <c r="T20" s="344">
        <f t="shared" si="33"/>
        <v>11.119063230224414</v>
      </c>
      <c r="U20" s="279">
        <f t="shared" si="34"/>
        <v>11.369438593441757</v>
      </c>
      <c r="V20" s="168">
        <f t="shared" si="15"/>
        <v>3.1718088194640357</v>
      </c>
      <c r="W20" s="184">
        <f t="shared" si="16"/>
        <v>2.8909367697755854</v>
      </c>
      <c r="X20" s="457">
        <f t="shared" si="17"/>
        <v>-8.3266652297554256</v>
      </c>
      <c r="Y20" s="72">
        <f t="shared" si="18"/>
        <v>0.84987079107148755</v>
      </c>
      <c r="Z20" s="73">
        <f t="shared" si="19"/>
        <v>0.77059726017437669</v>
      </c>
      <c r="AA20" s="301">
        <f t="shared" si="35"/>
        <v>0.53393702860066783</v>
      </c>
      <c r="AB20" s="69">
        <f t="shared" si="20"/>
        <v>0.5108764158710315</v>
      </c>
      <c r="AC20" s="68">
        <f t="shared" si="21"/>
        <v>0.5108764158710315</v>
      </c>
      <c r="AD20" s="68">
        <f t="shared" si="22"/>
        <v>0.54119452034875337</v>
      </c>
      <c r="AE20" s="23">
        <f t="shared" si="23"/>
        <v>1.031055769847554</v>
      </c>
      <c r="AF20" s="23">
        <f t="shared" si="24"/>
        <v>0.66868581229542101</v>
      </c>
      <c r="AG20" s="23">
        <f t="shared" si="25"/>
        <v>1.031055769847554</v>
      </c>
      <c r="AH20" s="23">
        <f t="shared" si="26"/>
        <v>0.66868581229542101</v>
      </c>
      <c r="AI20" s="23">
        <f t="shared" si="27"/>
        <v>0.84987079107148755</v>
      </c>
      <c r="AJ20" s="23">
        <f t="shared" si="28"/>
        <v>0.84987079107148755</v>
      </c>
      <c r="AK20" s="295">
        <f t="shared" si="36"/>
        <v>6.0030947595828303E-4</v>
      </c>
      <c r="AL20" s="70">
        <f t="shared" si="29"/>
        <v>14.01</v>
      </c>
      <c r="AM20" s="191">
        <f t="shared" si="37"/>
        <v>40</v>
      </c>
      <c r="AN20" s="192">
        <f t="shared" si="43"/>
        <v>16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33</v>
      </c>
      <c r="B21" s="64">
        <f t="shared" si="0"/>
        <v>8.1956061110966409</v>
      </c>
      <c r="C21" s="64">
        <f t="shared" si="1"/>
        <v>9.1956061110966409</v>
      </c>
      <c r="D21" s="183">
        <f t="shared" si="2"/>
        <v>629.04744992641599</v>
      </c>
      <c r="E21" s="64">
        <f t="shared" si="3"/>
        <v>3.9099059999999998E-2</v>
      </c>
      <c r="F21" s="65">
        <f t="shared" si="4"/>
        <v>16333.784130401718</v>
      </c>
      <c r="G21" s="65">
        <f t="shared" si="5"/>
        <v>21265.284423179161</v>
      </c>
      <c r="H21" s="66">
        <f t="shared" si="6"/>
        <v>87.613252748912558</v>
      </c>
      <c r="I21" s="66">
        <f t="shared" si="7"/>
        <v>97.416141899522415</v>
      </c>
      <c r="J21" s="426">
        <f t="shared" si="8"/>
        <v>2.6990349662653039</v>
      </c>
      <c r="K21" s="253">
        <f t="shared" si="9"/>
        <v>0.25056431437583981</v>
      </c>
      <c r="L21" s="271">
        <f t="shared" si="10"/>
        <v>0</v>
      </c>
      <c r="M21" s="272">
        <f t="shared" si="11"/>
        <v>0</v>
      </c>
      <c r="N21" s="256">
        <f t="shared" si="30"/>
        <v>5.5741110914338046E-2</v>
      </c>
      <c r="O21" s="64">
        <f t="shared" si="12"/>
        <v>0.39517339142472652</v>
      </c>
      <c r="P21" s="64">
        <f t="shared" si="13"/>
        <v>0</v>
      </c>
      <c r="Q21" s="64">
        <f t="shared" si="14"/>
        <v>0</v>
      </c>
      <c r="R21" s="271">
        <f t="shared" si="31"/>
        <v>0.23931143311253822</v>
      </c>
      <c r="S21" s="64">
        <f t="shared" si="32"/>
        <v>0.21174004071817826</v>
      </c>
      <c r="T21" s="344">
        <f t="shared" si="33"/>
        <v>11.401433662106999</v>
      </c>
      <c r="U21" s="279">
        <f t="shared" si="34"/>
        <v>11.651997976482839</v>
      </c>
      <c r="V21" s="168">
        <f t="shared" si="15"/>
        <v>3.2058275510103584</v>
      </c>
      <c r="W21" s="184">
        <f t="shared" si="16"/>
        <v>2.6085663378930004</v>
      </c>
      <c r="X21" s="457">
        <f t="shared" si="17"/>
        <v>-8.5743910226522857</v>
      </c>
      <c r="Y21" s="72">
        <f t="shared" si="18"/>
        <v>0.84619301306274664</v>
      </c>
      <c r="Z21" s="73">
        <f t="shared" si="19"/>
        <v>0.76857557098847007</v>
      </c>
      <c r="AA21" s="301">
        <f t="shared" si="35"/>
        <v>0.53030093431200298</v>
      </c>
      <c r="AB21" s="69">
        <f t="shared" si="20"/>
        <v>0.50703748997998854</v>
      </c>
      <c r="AC21" s="68">
        <f t="shared" si="21"/>
        <v>0.50703748997998854</v>
      </c>
      <c r="AD21" s="68">
        <f t="shared" si="22"/>
        <v>0.53715114197694014</v>
      </c>
      <c r="AE21" s="23">
        <f t="shared" si="23"/>
        <v>1.0265939219102342</v>
      </c>
      <c r="AF21" s="23">
        <f t="shared" si="24"/>
        <v>0.66579210421525914</v>
      </c>
      <c r="AG21" s="23">
        <f t="shared" si="25"/>
        <v>1.0265939219102342</v>
      </c>
      <c r="AH21" s="23">
        <f t="shared" si="26"/>
        <v>0.66579210421525914</v>
      </c>
      <c r="AI21" s="23">
        <f t="shared" si="27"/>
        <v>0.84619301306274664</v>
      </c>
      <c r="AJ21" s="23">
        <f t="shared" si="28"/>
        <v>0.84619301306274664</v>
      </c>
      <c r="AK21" s="295">
        <f t="shared" si="36"/>
        <v>5.9260789146474598E-4</v>
      </c>
      <c r="AL21" s="70">
        <f t="shared" si="29"/>
        <v>14.01</v>
      </c>
      <c r="AM21" s="191">
        <f t="shared" si="37"/>
        <v>40</v>
      </c>
      <c r="AN21" s="192">
        <f t="shared" si="43"/>
        <v>16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34</v>
      </c>
      <c r="B22" s="64">
        <f t="shared" si="0"/>
        <v>8.4439578114329024</v>
      </c>
      <c r="C22" s="64">
        <f t="shared" si="1"/>
        <v>9.4439578114329024</v>
      </c>
      <c r="D22" s="183">
        <f t="shared" si="2"/>
        <v>648.10949386358004</v>
      </c>
      <c r="E22" s="64">
        <f t="shared" si="3"/>
        <v>4.0283879999999994E-2</v>
      </c>
      <c r="F22" s="65">
        <f t="shared" si="4"/>
        <v>15853.378714801669</v>
      </c>
      <c r="G22" s="65">
        <f t="shared" si="5"/>
        <v>20639.834881320949</v>
      </c>
      <c r="H22" s="66">
        <f t="shared" si="6"/>
        <v>88.094042713440771</v>
      </c>
      <c r="I22" s="66">
        <f t="shared" si="7"/>
        <v>97.848776215855551</v>
      </c>
      <c r="J22" s="426">
        <f t="shared" si="8"/>
        <v>2.732630912192108</v>
      </c>
      <c r="K22" s="253">
        <f t="shared" si="9"/>
        <v>0.25076236212294134</v>
      </c>
      <c r="L22" s="271">
        <f t="shared" si="10"/>
        <v>0</v>
      </c>
      <c r="M22" s="272">
        <f t="shared" si="11"/>
        <v>0</v>
      </c>
      <c r="N22" s="256">
        <f t="shared" si="30"/>
        <v>5.3004125490715905E-2</v>
      </c>
      <c r="O22" s="64">
        <f t="shared" si="12"/>
        <v>0.40714834268002126</v>
      </c>
      <c r="P22" s="64">
        <f t="shared" si="13"/>
        <v>0</v>
      </c>
      <c r="Q22" s="64">
        <f t="shared" si="14"/>
        <v>0</v>
      </c>
      <c r="R22" s="271">
        <f t="shared" si="31"/>
        <v>0.23962573913265561</v>
      </c>
      <c r="S22" s="64">
        <f t="shared" si="32"/>
        <v>0.2161431149473641</v>
      </c>
      <c r="T22" s="344">
        <f t="shared" si="33"/>
        <v>11.685361703195746</v>
      </c>
      <c r="U22" s="279">
        <f t="shared" si="34"/>
        <v>11.936124065318687</v>
      </c>
      <c r="V22" s="168">
        <f t="shared" si="15"/>
        <v>3.2414038917628432</v>
      </c>
      <c r="W22" s="184">
        <f t="shared" si="16"/>
        <v>2.3246382968042543</v>
      </c>
      <c r="X22" s="457">
        <f t="shared" si="17"/>
        <v>-8.8225215806996342</v>
      </c>
      <c r="Y22" s="72">
        <f t="shared" si="18"/>
        <v>0.84245160565991239</v>
      </c>
      <c r="Z22" s="73">
        <f t="shared" si="19"/>
        <v>0.76650595221324225</v>
      </c>
      <c r="AA22" s="301">
        <f t="shared" si="35"/>
        <v>0.52654621618659048</v>
      </c>
      <c r="AB22" s="69">
        <f t="shared" si="20"/>
        <v>0.50310736216128293</v>
      </c>
      <c r="AC22" s="68">
        <f t="shared" si="21"/>
        <v>0.50310736216128293</v>
      </c>
      <c r="AD22" s="68">
        <f t="shared" si="22"/>
        <v>0.5330119044264845</v>
      </c>
      <c r="AE22" s="23">
        <f t="shared" si="23"/>
        <v>1.0220548793515658</v>
      </c>
      <c r="AF22" s="23">
        <f t="shared" si="24"/>
        <v>0.66284833196825899</v>
      </c>
      <c r="AG22" s="23">
        <f t="shared" si="25"/>
        <v>1.0220548793515658</v>
      </c>
      <c r="AH22" s="23">
        <f t="shared" si="26"/>
        <v>0.66284833196825899</v>
      </c>
      <c r="AI22" s="23">
        <f t="shared" si="27"/>
        <v>0.84245160565991239</v>
      </c>
      <c r="AJ22" s="23">
        <f t="shared" si="28"/>
        <v>0.84245160565991239</v>
      </c>
      <c r="AK22" s="295">
        <f t="shared" si="36"/>
        <v>5.8497162882949411E-4</v>
      </c>
      <c r="AL22" s="70">
        <f t="shared" si="29"/>
        <v>14.01</v>
      </c>
      <c r="AM22" s="191">
        <f t="shared" si="37"/>
        <v>40</v>
      </c>
      <c r="AN22" s="192">
        <f t="shared" si="43"/>
        <v>16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35</v>
      </c>
      <c r="B23" s="52">
        <f t="shared" si="0"/>
        <v>8.6923095117691638</v>
      </c>
      <c r="C23" s="52">
        <f t="shared" si="1"/>
        <v>9.6923095117691638</v>
      </c>
      <c r="D23" s="180">
        <f t="shared" si="2"/>
        <v>667.1715378007442</v>
      </c>
      <c r="E23" s="52">
        <f t="shared" si="3"/>
        <v>4.1468699999999997E-2</v>
      </c>
      <c r="F23" s="53">
        <f t="shared" si="4"/>
        <v>15400.425037235907</v>
      </c>
      <c r="G23" s="53">
        <f t="shared" si="5"/>
        <v>20050.125313283206</v>
      </c>
      <c r="H23" s="54">
        <f t="shared" si="6"/>
        <v>88.586457240250098</v>
      </c>
      <c r="I23" s="54">
        <f t="shared" si="7"/>
        <v>98.292334653937857</v>
      </c>
      <c r="J23" s="425">
        <f t="shared" si="8"/>
        <v>2.7672566314511777</v>
      </c>
      <c r="K23" s="252">
        <f t="shared" si="9"/>
        <v>0.25097006274039302</v>
      </c>
      <c r="L23" s="268">
        <f t="shared" si="10"/>
        <v>0</v>
      </c>
      <c r="M23" s="269">
        <f t="shared" si="11"/>
        <v>0</v>
      </c>
      <c r="N23" s="270">
        <f t="shared" si="30"/>
        <v>5.0413628893957028E-2</v>
      </c>
      <c r="O23" s="52">
        <f t="shared" si="12"/>
        <v>0.419123293935316</v>
      </c>
      <c r="P23" s="52">
        <f t="shared" si="13"/>
        <v>0</v>
      </c>
      <c r="Q23" s="52">
        <f t="shared" si="14"/>
        <v>0</v>
      </c>
      <c r="R23" s="268">
        <f t="shared" si="31"/>
        <v>0.24006663690125901</v>
      </c>
      <c r="S23" s="52">
        <f t="shared" si="32"/>
        <v>0.22080766597085255</v>
      </c>
      <c r="T23" s="282">
        <f t="shared" si="33"/>
        <v>11.970854074986409</v>
      </c>
      <c r="U23" s="278">
        <f t="shared" si="34"/>
        <v>12.221824137726802</v>
      </c>
      <c r="V23" s="181">
        <f t="shared" si="15"/>
        <v>3.2785445632172454</v>
      </c>
      <c r="W23" s="182">
        <f t="shared" si="16"/>
        <v>2.0391459250135906</v>
      </c>
      <c r="X23" s="456">
        <f t="shared" si="17"/>
        <v>-9.0710559577194854</v>
      </c>
      <c r="Y23" s="59">
        <f t="shared" si="18"/>
        <v>0.83864992041474984</v>
      </c>
      <c r="Z23" s="60">
        <f t="shared" si="19"/>
        <v>0.76438958380702116</v>
      </c>
      <c r="AA23" s="300">
        <f t="shared" si="35"/>
        <v>0.52267649963257112</v>
      </c>
      <c r="AB23" s="56">
        <f t="shared" si="20"/>
        <v>0.49908823294503479</v>
      </c>
      <c r="AC23" s="55">
        <f t="shared" si="21"/>
        <v>0.49908823294503479</v>
      </c>
      <c r="AD23" s="55">
        <f t="shared" si="22"/>
        <v>0.52877916761404231</v>
      </c>
      <c r="AE23" s="61">
        <f t="shared" si="23"/>
        <v>1.0174427082446764</v>
      </c>
      <c r="AF23" s="61">
        <f t="shared" si="24"/>
        <v>0.65985713258482326</v>
      </c>
      <c r="AG23" s="61">
        <f t="shared" si="25"/>
        <v>1.0174427082446764</v>
      </c>
      <c r="AH23" s="61">
        <f t="shared" si="26"/>
        <v>0.65985713258482326</v>
      </c>
      <c r="AI23" s="61">
        <f t="shared" si="27"/>
        <v>0.83864992041474984</v>
      </c>
      <c r="AJ23" s="61">
        <f t="shared" si="28"/>
        <v>0.83864992041474984</v>
      </c>
      <c r="AK23" s="306">
        <f t="shared" si="36"/>
        <v>5.7740803547894331E-4</v>
      </c>
      <c r="AL23" s="57">
        <f t="shared" si="29"/>
        <v>14.01</v>
      </c>
      <c r="AM23" s="190">
        <f t="shared" si="37"/>
        <v>40</v>
      </c>
      <c r="AN23" s="193">
        <f t="shared" si="43"/>
        <v>16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36</v>
      </c>
      <c r="B24" s="64">
        <f t="shared" si="0"/>
        <v>8.940661212105427</v>
      </c>
      <c r="C24" s="64">
        <f t="shared" si="1"/>
        <v>9.940661212105427</v>
      </c>
      <c r="D24" s="183">
        <f t="shared" si="2"/>
        <v>686.23358173790825</v>
      </c>
      <c r="E24" s="64">
        <f t="shared" si="3"/>
        <v>4.2653519999999993E-2</v>
      </c>
      <c r="F24" s="65">
        <f t="shared" si="4"/>
        <v>14972.635452868242</v>
      </c>
      <c r="G24" s="65">
        <f t="shared" si="5"/>
        <v>19493.177387914227</v>
      </c>
      <c r="H24" s="66">
        <f t="shared" si="6"/>
        <v>89.090303577820592</v>
      </c>
      <c r="I24" s="66">
        <f t="shared" si="7"/>
        <v>98.746670004265383</v>
      </c>
      <c r="J24" s="426">
        <f t="shared" si="8"/>
        <v>2.8029150080287519</v>
      </c>
      <c r="K24" s="253">
        <f t="shared" si="9"/>
        <v>0.25118801736355945</v>
      </c>
      <c r="L24" s="271">
        <f t="shared" si="10"/>
        <v>0</v>
      </c>
      <c r="M24" s="272">
        <f t="shared" si="11"/>
        <v>0</v>
      </c>
      <c r="N24" s="256">
        <f t="shared" si="30"/>
        <v>4.7961248319198131E-2</v>
      </c>
      <c r="O24" s="64">
        <f t="shared" si="12"/>
        <v>0.43109824519061074</v>
      </c>
      <c r="P24" s="64">
        <f t="shared" si="13"/>
        <v>0</v>
      </c>
      <c r="Q24" s="64">
        <f t="shared" si="14"/>
        <v>0</v>
      </c>
      <c r="R24" s="271">
        <f t="shared" si="31"/>
        <v>0.24063722908641239</v>
      </c>
      <c r="S24" s="64">
        <f t="shared" si="32"/>
        <v>0.22574448505352951</v>
      </c>
      <c r="T24" s="344">
        <f t="shared" si="33"/>
        <v>12.257919182593319</v>
      </c>
      <c r="U24" s="279">
        <f t="shared" si="34"/>
        <v>12.50910719995688</v>
      </c>
      <c r="V24" s="168">
        <f t="shared" si="15"/>
        <v>3.3172579704878924</v>
      </c>
      <c r="W24" s="184">
        <f t="shared" si="16"/>
        <v>1.7520808174066804</v>
      </c>
      <c r="X24" s="457">
        <f t="shared" si="17"/>
        <v>-9.3199942792074815</v>
      </c>
      <c r="Y24" s="72">
        <f t="shared" si="18"/>
        <v>0.83479127581055901</v>
      </c>
      <c r="Z24" s="73">
        <f t="shared" si="19"/>
        <v>0.76222766241878936</v>
      </c>
      <c r="AA24" s="301">
        <f t="shared" si="35"/>
        <v>0.51869537354913808</v>
      </c>
      <c r="AB24" s="69">
        <f t="shared" si="20"/>
        <v>0.49498233205252373</v>
      </c>
      <c r="AC24" s="68">
        <f t="shared" si="21"/>
        <v>0.49498233205252373</v>
      </c>
      <c r="AD24" s="68">
        <f t="shared" si="22"/>
        <v>0.52445532483757873</v>
      </c>
      <c r="AE24" s="23">
        <f t="shared" si="23"/>
        <v>1.0127614345443223</v>
      </c>
      <c r="AF24" s="23">
        <f t="shared" si="24"/>
        <v>0.65682111707679569</v>
      </c>
      <c r="AG24" s="23">
        <f t="shared" si="25"/>
        <v>1.0127614345443223</v>
      </c>
      <c r="AH24" s="23">
        <f t="shared" si="26"/>
        <v>0.65682111707679569</v>
      </c>
      <c r="AI24" s="23">
        <f t="shared" si="27"/>
        <v>0.83479127581055901</v>
      </c>
      <c r="AJ24" s="23">
        <f t="shared" si="28"/>
        <v>0.83479127581055901</v>
      </c>
      <c r="AK24" s="295">
        <f t="shared" si="36"/>
        <v>5.6992358156282346E-4</v>
      </c>
      <c r="AL24" s="70">
        <f t="shared" si="29"/>
        <v>14.01</v>
      </c>
      <c r="AM24" s="191">
        <f t="shared" si="37"/>
        <v>40</v>
      </c>
      <c r="AN24" s="192">
        <f t="shared" si="43"/>
        <v>16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37</v>
      </c>
      <c r="B25" s="64">
        <f t="shared" si="0"/>
        <v>9.1890129124416884</v>
      </c>
      <c r="C25" s="64">
        <f t="shared" si="1"/>
        <v>10.189012912441688</v>
      </c>
      <c r="D25" s="183">
        <f t="shared" si="2"/>
        <v>705.29562567507242</v>
      </c>
      <c r="E25" s="64">
        <f t="shared" si="3"/>
        <v>4.3838339999999996E-2</v>
      </c>
      <c r="F25" s="65">
        <f t="shared" si="4"/>
        <v>14567.96962981775</v>
      </c>
      <c r="G25" s="65">
        <f t="shared" si="5"/>
        <v>18966.334755808439</v>
      </c>
      <c r="H25" s="66">
        <f t="shared" si="6"/>
        <v>89.605388884967411</v>
      </c>
      <c r="I25" s="66">
        <f t="shared" si="7"/>
        <v>99.211634209750287</v>
      </c>
      <c r="J25" s="426">
        <f t="shared" si="8"/>
        <v>2.8396091249130189</v>
      </c>
      <c r="K25" s="253">
        <f t="shared" si="9"/>
        <v>0.25141687308078353</v>
      </c>
      <c r="L25" s="271">
        <f t="shared" si="10"/>
        <v>0</v>
      </c>
      <c r="M25" s="272">
        <f t="shared" si="11"/>
        <v>0</v>
      </c>
      <c r="N25" s="256">
        <f t="shared" si="30"/>
        <v>4.5639121228220364E-2</v>
      </c>
      <c r="O25" s="64">
        <f t="shared" si="12"/>
        <v>0.44307319644590554</v>
      </c>
      <c r="P25" s="64">
        <f t="shared" si="13"/>
        <v>0</v>
      </c>
      <c r="Q25" s="64">
        <f t="shared" si="14"/>
        <v>0</v>
      </c>
      <c r="R25" s="271">
        <f t="shared" si="31"/>
        <v>0.24134073625203983</v>
      </c>
      <c r="S25" s="64">
        <f t="shared" si="32"/>
        <v>0.23096527918389281</v>
      </c>
      <c r="T25" s="344">
        <f t="shared" si="33"/>
        <v>12.546567174018861</v>
      </c>
      <c r="U25" s="279">
        <f t="shared" si="34"/>
        <v>12.797984047099643</v>
      </c>
      <c r="V25" s="168">
        <f t="shared" si="15"/>
        <v>3.3575542615771727</v>
      </c>
      <c r="W25" s="184">
        <f t="shared" si="16"/>
        <v>1.4634328259811387</v>
      </c>
      <c r="X25" s="457">
        <f t="shared" si="17"/>
        <v>-9.5693377566835753</v>
      </c>
      <c r="Y25" s="72">
        <f t="shared" si="18"/>
        <v>0.83087895176313553</v>
      </c>
      <c r="Z25" s="73">
        <f t="shared" si="19"/>
        <v>0.76002139974153615</v>
      </c>
      <c r="AA25" s="301">
        <f t="shared" si="35"/>
        <v>0.51460639086701065</v>
      </c>
      <c r="AB25" s="69">
        <f t="shared" si="20"/>
        <v>0.49079191543309486</v>
      </c>
      <c r="AC25" s="68">
        <f t="shared" si="21"/>
        <v>0.49079191543309486</v>
      </c>
      <c r="AD25" s="68">
        <f t="shared" si="22"/>
        <v>0.5200427994830723</v>
      </c>
      <c r="AE25" s="23">
        <f t="shared" si="23"/>
        <v>1.0080150374155028</v>
      </c>
      <c r="AF25" s="23">
        <f t="shared" si="24"/>
        <v>0.65374286611076826</v>
      </c>
      <c r="AG25" s="23">
        <f t="shared" si="25"/>
        <v>1.0080150374155028</v>
      </c>
      <c r="AH25" s="23">
        <f t="shared" si="26"/>
        <v>0.65374286611076826</v>
      </c>
      <c r="AI25" s="23">
        <f t="shared" si="27"/>
        <v>0.83087895176313553</v>
      </c>
      <c r="AJ25" s="23">
        <f t="shared" si="28"/>
        <v>0.83087895176313553</v>
      </c>
      <c r="AK25" s="295">
        <f t="shared" si="36"/>
        <v>5.6252392001724673E-4</v>
      </c>
      <c r="AL25" s="70">
        <f t="shared" si="29"/>
        <v>14.01</v>
      </c>
      <c r="AM25" s="191">
        <f t="shared" si="37"/>
        <v>40</v>
      </c>
      <c r="AN25" s="192">
        <f t="shared" si="43"/>
        <v>16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38</v>
      </c>
      <c r="B26" s="64">
        <f t="shared" si="0"/>
        <v>9.4373646127779498</v>
      </c>
      <c r="C26" s="64">
        <f t="shared" si="1"/>
        <v>10.43736461277795</v>
      </c>
      <c r="D26" s="183">
        <f t="shared" si="2"/>
        <v>724.35766961223658</v>
      </c>
      <c r="E26" s="64">
        <f t="shared" si="3"/>
        <v>4.5023159999999993E-2</v>
      </c>
      <c r="F26" s="65">
        <f t="shared" si="4"/>
        <v>14184.60200798044</v>
      </c>
      <c r="G26" s="65">
        <f t="shared" si="5"/>
        <v>18467.220683287163</v>
      </c>
      <c r="H26" s="66">
        <f t="shared" si="6"/>
        <v>90.131520475872875</v>
      </c>
      <c r="I26" s="66">
        <f t="shared" si="7"/>
        <v>99.687078543990566</v>
      </c>
      <c r="J26" s="426">
        <f t="shared" si="8"/>
        <v>2.8773422805393594</v>
      </c>
      <c r="K26" s="253">
        <f t="shared" si="9"/>
        <v>0.25165732400491203</v>
      </c>
      <c r="L26" s="271">
        <f t="shared" si="10"/>
        <v>0</v>
      </c>
      <c r="M26" s="272">
        <f t="shared" si="11"/>
        <v>0</v>
      </c>
      <c r="N26" s="256">
        <f t="shared" si="30"/>
        <v>4.3439862188087403E-2</v>
      </c>
      <c r="O26" s="64">
        <f t="shared" si="12"/>
        <v>0.45504814770120022</v>
      </c>
      <c r="P26" s="64">
        <f t="shared" si="13"/>
        <v>0</v>
      </c>
      <c r="Q26" s="64">
        <f t="shared" si="14"/>
        <v>0</v>
      </c>
      <c r="R26" s="271">
        <f t="shared" si="31"/>
        <v>0.24218051833808801</v>
      </c>
      <c r="S26" s="64">
        <f t="shared" si="32"/>
        <v>0.23648273733296526</v>
      </c>
      <c r="T26" s="344">
        <f t="shared" si="33"/>
        <v>12.83681001117645</v>
      </c>
      <c r="U26" s="279">
        <f t="shared" si="34"/>
        <v>13.088467335181361</v>
      </c>
      <c r="V26" s="168">
        <f t="shared" si="15"/>
        <v>3.3994453983985</v>
      </c>
      <c r="W26" s="184">
        <f t="shared" si="16"/>
        <v>1.17318998882355</v>
      </c>
      <c r="X26" s="457">
        <f t="shared" si="17"/>
        <v>-9.8190887091402868</v>
      </c>
      <c r="Y26" s="72">
        <f t="shared" si="18"/>
        <v>0.82691618451360716</v>
      </c>
      <c r="Z26" s="73">
        <f t="shared" si="19"/>
        <v>0.75777202084891204</v>
      </c>
      <c r="AA26" s="301">
        <f t="shared" si="35"/>
        <v>0.51041306884641857</v>
      </c>
      <c r="AB26" s="69">
        <f t="shared" si="20"/>
        <v>0.48651926228595865</v>
      </c>
      <c r="AC26" s="68">
        <f t="shared" si="21"/>
        <v>0.48651926228595865</v>
      </c>
      <c r="AD26" s="68">
        <f t="shared" si="22"/>
        <v>0.51554404169782408</v>
      </c>
      <c r="AE26" s="23">
        <f t="shared" si="23"/>
        <v>1.003207443037494</v>
      </c>
      <c r="AF26" s="23">
        <f t="shared" si="24"/>
        <v>0.65062492598972033</v>
      </c>
      <c r="AG26" s="23">
        <f t="shared" si="25"/>
        <v>1.003207443037494</v>
      </c>
      <c r="AH26" s="23">
        <f t="shared" si="26"/>
        <v>0.65062492598972033</v>
      </c>
      <c r="AI26" s="23">
        <f t="shared" si="27"/>
        <v>0.82691618451360716</v>
      </c>
      <c r="AJ26" s="23">
        <f t="shared" si="28"/>
        <v>0.82691618451360716</v>
      </c>
      <c r="AK26" s="295">
        <f t="shared" si="36"/>
        <v>5.5521394569503111E-4</v>
      </c>
      <c r="AL26" s="70">
        <f t="shared" si="29"/>
        <v>14.01</v>
      </c>
      <c r="AM26" s="191">
        <f t="shared" si="37"/>
        <v>40</v>
      </c>
      <c r="AN26" s="192">
        <f t="shared" si="43"/>
        <v>16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39</v>
      </c>
      <c r="B27" s="64">
        <f t="shared" si="0"/>
        <v>9.6857163131142112</v>
      </c>
      <c r="C27" s="64">
        <f t="shared" si="1"/>
        <v>10.685716313114211</v>
      </c>
      <c r="D27" s="183">
        <f t="shared" si="2"/>
        <v>743.41971354940063</v>
      </c>
      <c r="E27" s="64">
        <f t="shared" si="3"/>
        <v>4.6207979999999996E-2</v>
      </c>
      <c r="F27" s="65">
        <f t="shared" si="4"/>
        <v>13820.89426418607</v>
      </c>
      <c r="G27" s="65">
        <f t="shared" si="5"/>
        <v>17993.702204228521</v>
      </c>
      <c r="H27" s="66">
        <f t="shared" si="6"/>
        <v>90.668506052474342</v>
      </c>
      <c r="I27" s="66">
        <f t="shared" si="7"/>
        <v>100.1728537835008</v>
      </c>
      <c r="J27" s="426">
        <f t="shared" si="8"/>
        <v>2.9161180063069283</v>
      </c>
      <c r="K27" s="253">
        <f t="shared" si="9"/>
        <v>0.25191011232965632</v>
      </c>
      <c r="L27" s="271">
        <f t="shared" si="10"/>
        <v>0</v>
      </c>
      <c r="M27" s="272">
        <f t="shared" si="11"/>
        <v>0</v>
      </c>
      <c r="N27" s="256">
        <f t="shared" si="30"/>
        <v>4.1356532028407098E-2</v>
      </c>
      <c r="O27" s="64">
        <f t="shared" si="12"/>
        <v>0.46702309895649496</v>
      </c>
      <c r="P27" s="64">
        <f t="shared" si="13"/>
        <v>0</v>
      </c>
      <c r="Q27" s="64">
        <f t="shared" si="14"/>
        <v>0</v>
      </c>
      <c r="R27" s="271">
        <f t="shared" si="31"/>
        <v>0.24316009709331404</v>
      </c>
      <c r="S27" s="64">
        <f t="shared" si="32"/>
        <v>0.24231060466694143</v>
      </c>
      <c r="T27" s="344">
        <f t="shared" si="33"/>
        <v>13.128661553209804</v>
      </c>
      <c r="U27" s="279">
        <f t="shared" si="34"/>
        <v>13.38057166553946</v>
      </c>
      <c r="V27" s="168">
        <f t="shared" si="15"/>
        <v>3.4429452400955931</v>
      </c>
      <c r="W27" s="184">
        <f t="shared" si="16"/>
        <v>0.88133844679019546</v>
      </c>
      <c r="X27" s="457">
        <f t="shared" si="17"/>
        <v>-10.069250591739083</v>
      </c>
      <c r="Y27" s="72">
        <f t="shared" si="18"/>
        <v>0.82290616191352084</v>
      </c>
      <c r="Z27" s="73">
        <f t="shared" si="19"/>
        <v>0.75548076252090424</v>
      </c>
      <c r="AA27" s="301">
        <f t="shared" si="35"/>
        <v>0.5061188891553956</v>
      </c>
      <c r="AB27" s="69">
        <f t="shared" si="20"/>
        <v>0.48216667207570874</v>
      </c>
      <c r="AC27" s="68">
        <f t="shared" si="21"/>
        <v>0.48216667207570874</v>
      </c>
      <c r="AD27" s="68">
        <f t="shared" si="22"/>
        <v>0.51096152504180847</v>
      </c>
      <c r="AE27" s="23">
        <f t="shared" si="23"/>
        <v>0.99834251888375836</v>
      </c>
      <c r="AF27" s="23">
        <f t="shared" si="24"/>
        <v>0.64746980494328332</v>
      </c>
      <c r="AG27" s="23">
        <f t="shared" si="25"/>
        <v>0.99834251888375836</v>
      </c>
      <c r="AH27" s="23">
        <f t="shared" si="26"/>
        <v>0.64746980494328332</v>
      </c>
      <c r="AI27" s="23">
        <f t="shared" si="27"/>
        <v>0.82290616191352084</v>
      </c>
      <c r="AJ27" s="23">
        <f t="shared" si="28"/>
        <v>0.82290616191352084</v>
      </c>
      <c r="AK27" s="295">
        <f t="shared" si="36"/>
        <v>5.4799785298996007E-4</v>
      </c>
      <c r="AL27" s="70">
        <f t="shared" si="29"/>
        <v>14.01</v>
      </c>
      <c r="AM27" s="191">
        <f t="shared" si="37"/>
        <v>40</v>
      </c>
      <c r="AN27" s="192">
        <f t="shared" si="43"/>
        <v>16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40</v>
      </c>
      <c r="B28" s="52">
        <f t="shared" si="0"/>
        <v>9.9340680134504726</v>
      </c>
      <c r="C28" s="52">
        <f t="shared" si="1"/>
        <v>10.934068013450473</v>
      </c>
      <c r="D28" s="180">
        <f t="shared" si="2"/>
        <v>762.48175748656479</v>
      </c>
      <c r="E28" s="52">
        <f t="shared" si="3"/>
        <v>4.7392799999999992E-2</v>
      </c>
      <c r="F28" s="53">
        <f t="shared" si="4"/>
        <v>13475.371907581417</v>
      </c>
      <c r="G28" s="53">
        <f t="shared" si="5"/>
        <v>17543.859649122805</v>
      </c>
      <c r="H28" s="54">
        <f t="shared" si="6"/>
        <v>91.216153924131788</v>
      </c>
      <c r="I28" s="54">
        <f t="shared" si="7"/>
        <v>100.66881037369001</v>
      </c>
      <c r="J28" s="425">
        <f t="shared" si="8"/>
        <v>2.9559400851873106</v>
      </c>
      <c r="K28" s="252">
        <f t="shared" si="9"/>
        <v>0.25217602938477057</v>
      </c>
      <c r="L28" s="268">
        <f t="shared" si="10"/>
        <v>0</v>
      </c>
      <c r="M28" s="269">
        <f t="shared" si="11"/>
        <v>0</v>
      </c>
      <c r="N28" s="270">
        <f t="shared" si="30"/>
        <v>3.9382609140374988E-2</v>
      </c>
      <c r="O28" s="52">
        <f t="shared" si="12"/>
        <v>0.47899805021178976</v>
      </c>
      <c r="P28" s="52">
        <f t="shared" si="13"/>
        <v>0</v>
      </c>
      <c r="Q28" s="52">
        <f t="shared" si="14"/>
        <v>0</v>
      </c>
      <c r="R28" s="268">
        <f t="shared" si="31"/>
        <v>0.24428317947096695</v>
      </c>
      <c r="S28" s="52">
        <f t="shared" si="32"/>
        <v>0.24846376558119554</v>
      </c>
      <c r="T28" s="282">
        <f t="shared" si="33"/>
        <v>13.422137652830321</v>
      </c>
      <c r="U28" s="278">
        <f t="shared" si="34"/>
        <v>13.674313682215091</v>
      </c>
      <c r="V28" s="181">
        <f t="shared" si="15"/>
        <v>3.488069639379848</v>
      </c>
      <c r="W28" s="182">
        <f t="shared" si="16"/>
        <v>0.58786234716967911</v>
      </c>
      <c r="X28" s="456">
        <f t="shared" si="17"/>
        <v>-10.319828032022093</v>
      </c>
      <c r="Y28" s="59">
        <f t="shared" si="18"/>
        <v>0.81885201910013772</v>
      </c>
      <c r="Z28" s="60">
        <f t="shared" si="19"/>
        <v>0.75314887156428711</v>
      </c>
      <c r="AA28" s="300">
        <f t="shared" si="35"/>
        <v>0.50172729775063873</v>
      </c>
      <c r="AB28" s="56">
        <f t="shared" si="20"/>
        <v>0.4777364615503672</v>
      </c>
      <c r="AC28" s="55">
        <f t="shared" si="21"/>
        <v>0.4777364615503672</v>
      </c>
      <c r="AD28" s="55">
        <f t="shared" si="22"/>
        <v>0.50629774312857423</v>
      </c>
      <c r="AE28" s="61">
        <f t="shared" si="23"/>
        <v>0.99342406847525033</v>
      </c>
      <c r="AF28" s="61">
        <f t="shared" si="24"/>
        <v>0.64427996972502521</v>
      </c>
      <c r="AG28" s="61">
        <f t="shared" si="25"/>
        <v>0.99342406847525033</v>
      </c>
      <c r="AH28" s="61">
        <f t="shared" si="26"/>
        <v>0.64427996972502521</v>
      </c>
      <c r="AI28" s="61">
        <f t="shared" si="27"/>
        <v>0.81885201910013772</v>
      </c>
      <c r="AJ28" s="61">
        <f t="shared" si="28"/>
        <v>0.81885201910013772</v>
      </c>
      <c r="AK28" s="306">
        <f t="shared" si="36"/>
        <v>5.4087919150772718E-4</v>
      </c>
      <c r="AL28" s="57">
        <f t="shared" si="29"/>
        <v>14.01</v>
      </c>
      <c r="AM28" s="190">
        <f t="shared" si="37"/>
        <v>40</v>
      </c>
      <c r="AN28" s="193">
        <f t="shared" si="43"/>
        <v>16</v>
      </c>
      <c r="AO28" s="58">
        <f t="shared" si="38"/>
        <v>0.58786234716967911</v>
      </c>
      <c r="AP28" s="350">
        <f t="shared" si="39"/>
        <v>100.66881037369001</v>
      </c>
      <c r="AQ28" s="351">
        <f>IF($A28=$L$3,B_1*Tb_eff*(1+$G$9)/(SQRT(8)*SQRT($H28^2+$AG$8^2)),0)</f>
        <v>0.81442547332184878</v>
      </c>
      <c r="AR28" s="351">
        <f t="shared" si="41"/>
        <v>0.81442547332184878</v>
      </c>
    </row>
    <row r="29" spans="1:44" s="74" customFormat="1" ht="15" customHeight="1" x14ac:dyDescent="0.2">
      <c r="A29" s="63">
        <f t="shared" si="42"/>
        <v>41</v>
      </c>
      <c r="B29" s="64">
        <f t="shared" si="0"/>
        <v>10.182419713786734</v>
      </c>
      <c r="C29" s="64">
        <f t="shared" si="1"/>
        <v>11.182419713786734</v>
      </c>
      <c r="D29" s="183">
        <f t="shared" si="2"/>
        <v>781.54380142372895</v>
      </c>
      <c r="E29" s="64">
        <f t="shared" si="3"/>
        <v>4.8577619999999995E-2</v>
      </c>
      <c r="F29" s="65">
        <f t="shared" si="4"/>
        <v>13146.704300079433</v>
      </c>
      <c r="G29" s="65">
        <f t="shared" si="5"/>
        <v>17115.960633290542</v>
      </c>
      <c r="H29" s="66">
        <f t="shared" si="6"/>
        <v>91.774273214570684</v>
      </c>
      <c r="I29" s="66">
        <f t="shared" si="7"/>
        <v>101.17479858841192</v>
      </c>
      <c r="J29" s="426">
        <f t="shared" si="8"/>
        <v>2.9968125714477063</v>
      </c>
      <c r="K29" s="253">
        <f t="shared" si="9"/>
        <v>0.25245591670499046</v>
      </c>
      <c r="L29" s="271">
        <f t="shared" si="10"/>
        <v>0</v>
      </c>
      <c r="M29" s="272">
        <f t="shared" si="11"/>
        <v>0</v>
      </c>
      <c r="N29" s="256">
        <f t="shared" si="30"/>
        <v>3.7511962755728746E-2</v>
      </c>
      <c r="O29" s="64">
        <f t="shared" si="12"/>
        <v>0.4909730014670845</v>
      </c>
      <c r="P29" s="64">
        <f t="shared" si="13"/>
        <v>0</v>
      </c>
      <c r="Q29" s="64">
        <f t="shared" si="14"/>
        <v>0</v>
      </c>
      <c r="R29" s="271">
        <f t="shared" si="31"/>
        <v>0.24555368203402234</v>
      </c>
      <c r="S29" s="64">
        <f t="shared" si="32"/>
        <v>0.25495833656289818</v>
      </c>
      <c r="T29" s="344">
        <f t="shared" si="33"/>
        <v>13.717256266587091</v>
      </c>
      <c r="U29" s="279">
        <f t="shared" si="34"/>
        <v>13.96971218329208</v>
      </c>
      <c r="V29" s="168">
        <f t="shared" si="15"/>
        <v>3.5348365528003569</v>
      </c>
      <c r="W29" s="184">
        <f t="shared" si="16"/>
        <v>0.29274373341290882</v>
      </c>
      <c r="X29" s="457">
        <f t="shared" si="17"/>
        <v>-10.570826874027613</v>
      </c>
      <c r="Y29" s="72">
        <f t="shared" si="18"/>
        <v>0.81475683455767622</v>
      </c>
      <c r="Z29" s="73">
        <f t="shared" si="19"/>
        <v>0.75077760313358888</v>
      </c>
      <c r="AA29" s="301">
        <f t="shared" si="35"/>
        <v>0.49724170458257916</v>
      </c>
      <c r="AB29" s="69">
        <f t="shared" si="20"/>
        <v>0.47323096177072088</v>
      </c>
      <c r="AC29" s="68">
        <f t="shared" si="21"/>
        <v>0.47323096177072088</v>
      </c>
      <c r="AD29" s="68">
        <f t="shared" si="22"/>
        <v>0.50155520626717776</v>
      </c>
      <c r="AE29" s="23">
        <f t="shared" si="23"/>
        <v>0.98845582660195097</v>
      </c>
      <c r="AF29" s="23">
        <f t="shared" si="24"/>
        <v>0.64105784251340159</v>
      </c>
      <c r="AG29" s="23">
        <f t="shared" si="25"/>
        <v>0.98845582660195097</v>
      </c>
      <c r="AH29" s="23">
        <f t="shared" si="26"/>
        <v>0.64105784251340159</v>
      </c>
      <c r="AI29" s="23">
        <f t="shared" si="27"/>
        <v>0.81475683455767622</v>
      </c>
      <c r="AJ29" s="23">
        <f t="shared" si="28"/>
        <v>0.81475683455767622</v>
      </c>
      <c r="AK29" s="295">
        <f t="shared" si="36"/>
        <v>5.3386091944650368E-4</v>
      </c>
      <c r="AL29" s="70">
        <f t="shared" si="29"/>
        <v>14.01</v>
      </c>
      <c r="AM29" s="191">
        <f t="shared" si="37"/>
        <v>40</v>
      </c>
      <c r="AN29" s="192">
        <f t="shared" si="43"/>
        <v>16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42</v>
      </c>
      <c r="B30" s="64">
        <f t="shared" si="0"/>
        <v>10.430771414122995</v>
      </c>
      <c r="C30" s="64">
        <f t="shared" si="1"/>
        <v>11.430771414122995</v>
      </c>
      <c r="D30" s="183">
        <f t="shared" si="2"/>
        <v>800.605845360893</v>
      </c>
      <c r="E30" s="64">
        <f t="shared" si="3"/>
        <v>4.9762439999999991E-2</v>
      </c>
      <c r="F30" s="65">
        <f t="shared" si="4"/>
        <v>12833.687531029922</v>
      </c>
      <c r="G30" s="65">
        <f t="shared" si="5"/>
        <v>16708.437761069341</v>
      </c>
      <c r="H30" s="66">
        <f t="shared" si="6"/>
        <v>92.342674056163602</v>
      </c>
      <c r="I30" s="66">
        <f t="shared" si="7"/>
        <v>101.69066868295204</v>
      </c>
      <c r="J30" s="426">
        <f t="shared" si="8"/>
        <v>3.0387398115136315</v>
      </c>
      <c r="K30" s="253">
        <f t="shared" si="9"/>
        <v>0.25275066712886218</v>
      </c>
      <c r="L30" s="271">
        <f t="shared" si="10"/>
        <v>0</v>
      </c>
      <c r="M30" s="272">
        <f t="shared" si="11"/>
        <v>0</v>
      </c>
      <c r="N30" s="256">
        <f t="shared" si="30"/>
        <v>3.5738828057283116E-2</v>
      </c>
      <c r="O30" s="64">
        <f t="shared" si="12"/>
        <v>0.50294795272237924</v>
      </c>
      <c r="P30" s="64">
        <f t="shared" si="13"/>
        <v>0</v>
      </c>
      <c r="Q30" s="64">
        <f t="shared" si="14"/>
        <v>0</v>
      </c>
      <c r="R30" s="271">
        <f t="shared" si="31"/>
        <v>0.24697575645073649</v>
      </c>
      <c r="S30" s="64">
        <f t="shared" si="32"/>
        <v>0.26181177005032691</v>
      </c>
      <c r="T30" s="344">
        <f t="shared" si="33"/>
        <v>14.014037580194973</v>
      </c>
      <c r="U30" s="279">
        <f t="shared" si="34"/>
        <v>14.266788247323836</v>
      </c>
      <c r="V30" s="168">
        <f t="shared" si="15"/>
        <v>3.5832661660719776</v>
      </c>
      <c r="W30" s="184">
        <f t="shared" si="16"/>
        <v>-4.0375801949732448E-3</v>
      </c>
      <c r="X30" s="457">
        <f t="shared" si="17"/>
        <v>-10.822254230825859</v>
      </c>
      <c r="Y30" s="72">
        <f t="shared" si="18"/>
        <v>0.81062362655821962</v>
      </c>
      <c r="Z30" s="73">
        <f t="shared" si="19"/>
        <v>0.74836821905824402</v>
      </c>
      <c r="AA30" s="301">
        <f t="shared" si="35"/>
        <v>0.49266548314561598</v>
      </c>
      <c r="AB30" s="69">
        <f t="shared" si="20"/>
        <v>0.46865251515955531</v>
      </c>
      <c r="AC30" s="68">
        <f t="shared" si="21"/>
        <v>0.46865251515955531</v>
      </c>
      <c r="AD30" s="68">
        <f t="shared" si="22"/>
        <v>0.49673643811648804</v>
      </c>
      <c r="AE30" s="23">
        <f t="shared" si="23"/>
        <v>0.98344145500500857</v>
      </c>
      <c r="AF30" s="23">
        <f t="shared" si="24"/>
        <v>0.63780579811143068</v>
      </c>
      <c r="AG30" s="23">
        <f t="shared" si="25"/>
        <v>0.98344145500500857</v>
      </c>
      <c r="AH30" s="23">
        <f t="shared" si="26"/>
        <v>0.63780579811143068</v>
      </c>
      <c r="AI30" s="23">
        <f t="shared" si="27"/>
        <v>0.81062362655821962</v>
      </c>
      <c r="AJ30" s="23">
        <f t="shared" si="28"/>
        <v>0.81062362655821962</v>
      </c>
      <c r="AK30" s="295">
        <f t="shared" si="36"/>
        <v>5.2694545444506406E-4</v>
      </c>
      <c r="AL30" s="70">
        <f t="shared" si="29"/>
        <v>14.01</v>
      </c>
      <c r="AM30" s="191">
        <f t="shared" si="37"/>
        <v>40</v>
      </c>
      <c r="AN30" s="192">
        <f t="shared" si="43"/>
        <v>16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43</v>
      </c>
      <c r="B31" s="64">
        <f t="shared" si="0"/>
        <v>10.679123114459257</v>
      </c>
      <c r="C31" s="64">
        <f t="shared" si="1"/>
        <v>11.679123114459257</v>
      </c>
      <c r="D31" s="183">
        <f t="shared" si="2"/>
        <v>819.66788929805716</v>
      </c>
      <c r="E31" s="64">
        <f t="shared" si="3"/>
        <v>5.0947259999999994E-2</v>
      </c>
      <c r="F31" s="65">
        <f t="shared" si="4"/>
        <v>12535.229681471086</v>
      </c>
      <c r="G31" s="65">
        <f t="shared" si="5"/>
        <v>16319.869441044471</v>
      </c>
      <c r="H31" s="66">
        <f t="shared" si="6"/>
        <v>92.921167771673609</v>
      </c>
      <c r="I31" s="66">
        <f t="shared" si="7"/>
        <v>102.21627104035133</v>
      </c>
      <c r="J31" s="426">
        <f t="shared" si="8"/>
        <v>3.0817264659991355</v>
      </c>
      <c r="K31" s="253">
        <f t="shared" si="9"/>
        <v>0.25306122594446068</v>
      </c>
      <c r="L31" s="271">
        <f t="shared" si="10"/>
        <v>0</v>
      </c>
      <c r="M31" s="272">
        <f t="shared" si="11"/>
        <v>0</v>
      </c>
      <c r="N31" s="256">
        <f t="shared" si="30"/>
        <v>3.405778298498352E-2</v>
      </c>
      <c r="O31" s="64">
        <f t="shared" si="12"/>
        <v>0.51492290397767393</v>
      </c>
      <c r="P31" s="64">
        <f t="shared" si="13"/>
        <v>0</v>
      </c>
      <c r="Q31" s="64">
        <f t="shared" si="14"/>
        <v>0</v>
      </c>
      <c r="R31" s="271">
        <f t="shared" si="31"/>
        <v>0.24855381619364891</v>
      </c>
      <c r="S31" s="64">
        <f t="shared" si="32"/>
        <v>0.26904297064307259</v>
      </c>
      <c r="T31" s="344">
        <f t="shared" si="33"/>
        <v>14.312504150280098</v>
      </c>
      <c r="U31" s="279">
        <f t="shared" si="34"/>
        <v>14.565565376224558</v>
      </c>
      <c r="V31" s="168">
        <f t="shared" si="15"/>
        <v>3.6333810358208414</v>
      </c>
      <c r="W31" s="184">
        <f t="shared" si="16"/>
        <v>-0.30250415028009847</v>
      </c>
      <c r="X31" s="457">
        <f t="shared" si="17"/>
        <v>-11.074118546129105</v>
      </c>
      <c r="Y31" s="72">
        <f t="shared" si="18"/>
        <v>0.80645534997420709</v>
      </c>
      <c r="Z31" s="73">
        <f t="shared" si="19"/>
        <v>0.74592198618149652</v>
      </c>
      <c r="AA31" s="301">
        <f t="shared" si="35"/>
        <v>0.48800196989373468</v>
      </c>
      <c r="AB31" s="69">
        <f t="shared" si="20"/>
        <v>0.46400347257922592</v>
      </c>
      <c r="AC31" s="68">
        <f t="shared" si="21"/>
        <v>0.46400347257922592</v>
      </c>
      <c r="AD31" s="68">
        <f t="shared" si="22"/>
        <v>0.49184397236299304</v>
      </c>
      <c r="AE31" s="23">
        <f t="shared" si="23"/>
        <v>0.97838453850968088</v>
      </c>
      <c r="AF31" s="23">
        <f t="shared" si="24"/>
        <v>0.6345261614387333</v>
      </c>
      <c r="AG31" s="23">
        <f t="shared" si="25"/>
        <v>0.97838453850968088</v>
      </c>
      <c r="AH31" s="23">
        <f t="shared" si="26"/>
        <v>0.6345261614387333</v>
      </c>
      <c r="AI31" s="23">
        <f t="shared" si="27"/>
        <v>0.80645534997420709</v>
      </c>
      <c r="AJ31" s="23">
        <f t="shared" si="28"/>
        <v>0.80645534997420709</v>
      </c>
      <c r="AK31" s="295">
        <f t="shared" si="36"/>
        <v>5.2013472173720256E-4</v>
      </c>
      <c r="AL31" s="70">
        <f t="shared" si="29"/>
        <v>14.01</v>
      </c>
      <c r="AM31" s="191">
        <f t="shared" si="37"/>
        <v>40</v>
      </c>
      <c r="AN31" s="192">
        <f t="shared" si="43"/>
        <v>16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44</v>
      </c>
      <c r="B32" s="64">
        <f t="shared" si="0"/>
        <v>10.92747481479552</v>
      </c>
      <c r="C32" s="64">
        <f t="shared" si="1"/>
        <v>11.92747481479552</v>
      </c>
      <c r="D32" s="183">
        <f t="shared" si="2"/>
        <v>838.72993323522132</v>
      </c>
      <c r="E32" s="64">
        <f t="shared" si="3"/>
        <v>5.213207999999999E-2</v>
      </c>
      <c r="F32" s="65">
        <f t="shared" si="4"/>
        <v>12250.338097801288</v>
      </c>
      <c r="G32" s="65">
        <f t="shared" si="5"/>
        <v>15948.963317384369</v>
      </c>
      <c r="H32" s="66">
        <f t="shared" si="6"/>
        <v>93.509567043637801</v>
      </c>
      <c r="I32" s="66">
        <f t="shared" si="7"/>
        <v>102.75145631100148</v>
      </c>
      <c r="J32" s="426">
        <f t="shared" si="8"/>
        <v>3.125777532936302</v>
      </c>
      <c r="K32" s="253">
        <f t="shared" si="9"/>
        <v>0.25338859210010867</v>
      </c>
      <c r="L32" s="271">
        <f t="shared" si="10"/>
        <v>0</v>
      </c>
      <c r="M32" s="272">
        <f t="shared" si="11"/>
        <v>0</v>
      </c>
      <c r="N32" s="256">
        <f t="shared" si="30"/>
        <v>3.2463726612579145E-2</v>
      </c>
      <c r="O32" s="64">
        <f t="shared" si="12"/>
        <v>0.52689785523296873</v>
      </c>
      <c r="P32" s="64">
        <f t="shared" si="13"/>
        <v>0</v>
      </c>
      <c r="Q32" s="64">
        <f t="shared" si="14"/>
        <v>0</v>
      </c>
      <c r="R32" s="271">
        <f t="shared" si="31"/>
        <v>0.25029256458641824</v>
      </c>
      <c r="S32" s="64">
        <f t="shared" si="32"/>
        <v>0.27667242523429092</v>
      </c>
      <c r="T32" s="344">
        <f t="shared" si="33"/>
        <v>14.612681064165113</v>
      </c>
      <c r="U32" s="279">
        <f t="shared" si="34"/>
        <v>14.866069656265221</v>
      </c>
      <c r="V32" s="168">
        <f t="shared" si="15"/>
        <v>3.6852062493695925</v>
      </c>
      <c r="W32" s="184">
        <f t="shared" si="16"/>
        <v>-0.6026810641651128</v>
      </c>
      <c r="X32" s="457">
        <f t="shared" si="17"/>
        <v>-11.326429665781342</v>
      </c>
      <c r="Y32" s="72">
        <f t="shared" si="18"/>
        <v>0.80225489345282353</v>
      </c>
      <c r="Z32" s="73">
        <f t="shared" si="19"/>
        <v>0.74344017471646207</v>
      </c>
      <c r="AA32" s="301">
        <f t="shared" si="35"/>
        <v>0.48325446354092227</v>
      </c>
      <c r="AB32" s="69">
        <f t="shared" si="20"/>
        <v>0.45928619044574126</v>
      </c>
      <c r="AC32" s="68">
        <f t="shared" si="21"/>
        <v>0.45928619044574126</v>
      </c>
      <c r="AD32" s="68">
        <f t="shared" si="22"/>
        <v>0.48688034943292413</v>
      </c>
      <c r="AE32" s="23">
        <f t="shared" si="23"/>
        <v>0.97328858159732956</v>
      </c>
      <c r="AF32" s="23">
        <f t="shared" si="24"/>
        <v>0.6312212053083176</v>
      </c>
      <c r="AG32" s="23">
        <f t="shared" si="25"/>
        <v>0.97328858159732956</v>
      </c>
      <c r="AH32" s="23">
        <f t="shared" si="26"/>
        <v>0.6312212053083176</v>
      </c>
      <c r="AI32" s="23">
        <f t="shared" si="27"/>
        <v>0.80225489345282353</v>
      </c>
      <c r="AJ32" s="23">
        <f t="shared" si="28"/>
        <v>0.80225489345282353</v>
      </c>
      <c r="AK32" s="295">
        <f t="shared" si="36"/>
        <v>5.1343019951895772E-4</v>
      </c>
      <c r="AL32" s="70">
        <f t="shared" si="29"/>
        <v>14.01</v>
      </c>
      <c r="AM32" s="191">
        <f t="shared" si="37"/>
        <v>40</v>
      </c>
      <c r="AN32" s="192">
        <f t="shared" si="43"/>
        <v>16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45</v>
      </c>
      <c r="B33" s="52">
        <f t="shared" si="0"/>
        <v>11.175826515131783</v>
      </c>
      <c r="C33" s="52">
        <f t="shared" si="1"/>
        <v>12.175826515131783</v>
      </c>
      <c r="D33" s="180">
        <f t="shared" si="2"/>
        <v>857.79197717238537</v>
      </c>
      <c r="E33" s="52">
        <f t="shared" si="3"/>
        <v>5.3316899999999993E-2</v>
      </c>
      <c r="F33" s="53">
        <f t="shared" si="4"/>
        <v>11978.108362294595</v>
      </c>
      <c r="G33" s="53">
        <f t="shared" si="5"/>
        <v>15594.541910331383</v>
      </c>
      <c r="H33" s="54">
        <f t="shared" si="6"/>
        <v>94.107686071617508</v>
      </c>
      <c r="I33" s="54">
        <f t="shared" si="7"/>
        <v>103.29607554547832</v>
      </c>
      <c r="J33" s="425">
        <f t="shared" si="8"/>
        <v>3.1708983722403463</v>
      </c>
      <c r="K33" s="252">
        <f t="shared" si="9"/>
        <v>0.25373381949907481</v>
      </c>
      <c r="L33" s="268">
        <f t="shared" si="10"/>
        <v>0</v>
      </c>
      <c r="M33" s="269">
        <f t="shared" si="11"/>
        <v>0</v>
      </c>
      <c r="N33" s="270">
        <f t="shared" si="30"/>
        <v>3.0951858980128106E-2</v>
      </c>
      <c r="O33" s="52">
        <f t="shared" si="12"/>
        <v>0.53887280648826341</v>
      </c>
      <c r="P33" s="52">
        <f t="shared" si="13"/>
        <v>0</v>
      </c>
      <c r="Q33" s="52">
        <f t="shared" si="14"/>
        <v>0</v>
      </c>
      <c r="R33" s="268">
        <f t="shared" si="31"/>
        <v>0.25219702437369462</v>
      </c>
      <c r="S33" s="52">
        <f t="shared" si="32"/>
        <v>0.28472234888971304</v>
      </c>
      <c r="T33" s="282">
        <f t="shared" si="33"/>
        <v>14.914596119615666</v>
      </c>
      <c r="U33" s="278">
        <f t="shared" si="34"/>
        <v>15.168329939114741</v>
      </c>
      <c r="V33" s="181">
        <f t="shared" si="15"/>
        <v>3.738769604483883</v>
      </c>
      <c r="W33" s="182">
        <f t="shared" si="16"/>
        <v>-0.90459611961566644</v>
      </c>
      <c r="X33" s="456">
        <f t="shared" si="17"/>
        <v>-11.579198920100142</v>
      </c>
      <c r="Y33" s="59">
        <f t="shared" si="18"/>
        <v>0.79802507694120595</v>
      </c>
      <c r="Z33" s="60">
        <f t="shared" si="19"/>
        <v>0.74092405662456218</v>
      </c>
      <c r="AA33" s="300">
        <f t="shared" si="35"/>
        <v>0.47842622426493714</v>
      </c>
      <c r="AB33" s="56">
        <f t="shared" si="20"/>
        <v>0.45450302788723684</v>
      </c>
      <c r="AC33" s="55">
        <f t="shared" si="21"/>
        <v>0.45450302788723684</v>
      </c>
      <c r="AD33" s="55">
        <f t="shared" si="22"/>
        <v>0.48184811324912435</v>
      </c>
      <c r="AE33" s="61">
        <f t="shared" si="23"/>
        <v>0.96815700540302185</v>
      </c>
      <c r="AF33" s="61">
        <f t="shared" si="24"/>
        <v>0.62789314847938993</v>
      </c>
      <c r="AG33" s="61">
        <f t="shared" si="25"/>
        <v>0.96815700540302185</v>
      </c>
      <c r="AH33" s="61">
        <f t="shared" si="26"/>
        <v>0.62789314847938993</v>
      </c>
      <c r="AI33" s="61">
        <f t="shared" si="27"/>
        <v>0.79802507694120595</v>
      </c>
      <c r="AJ33" s="61">
        <f t="shared" si="28"/>
        <v>0.79802507694120595</v>
      </c>
      <c r="AK33" s="306">
        <f t="shared" si="36"/>
        <v>5.0683296149120027E-4</v>
      </c>
      <c r="AL33" s="57">
        <f t="shared" si="29"/>
        <v>14.01</v>
      </c>
      <c r="AM33" s="190">
        <f t="shared" si="37"/>
        <v>40</v>
      </c>
      <c r="AN33" s="193">
        <f t="shared" si="43"/>
        <v>16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46</v>
      </c>
      <c r="B34" s="64">
        <f t="shared" si="0"/>
        <v>11.424178215468045</v>
      </c>
      <c r="C34" s="64">
        <f t="shared" si="1"/>
        <v>12.424178215468045</v>
      </c>
      <c r="D34" s="183">
        <f t="shared" si="2"/>
        <v>876.85402110954954</v>
      </c>
      <c r="E34" s="64">
        <f t="shared" si="3"/>
        <v>5.450171999999999E-2</v>
      </c>
      <c r="F34" s="65">
        <f t="shared" si="4"/>
        <v>11717.714702244712</v>
      </c>
      <c r="G34" s="65">
        <f t="shared" si="5"/>
        <v>15255.530129672004</v>
      </c>
      <c r="H34" s="66">
        <f t="shared" si="6"/>
        <v>94.71534071758424</v>
      </c>
      <c r="I34" s="66">
        <f t="shared" si="7"/>
        <v>103.84998032061019</v>
      </c>
      <c r="J34" s="426">
        <f t="shared" si="8"/>
        <v>3.217094731451752</v>
      </c>
      <c r="K34" s="253">
        <f t="shared" si="9"/>
        <v>0.25409801839822599</v>
      </c>
      <c r="L34" s="271">
        <f t="shared" si="10"/>
        <v>0</v>
      </c>
      <c r="M34" s="272">
        <f t="shared" si="11"/>
        <v>0</v>
      </c>
      <c r="N34" s="256">
        <f t="shared" si="30"/>
        <v>2.9517662276776567E-2</v>
      </c>
      <c r="O34" s="64">
        <f t="shared" si="12"/>
        <v>0.55084775774355821</v>
      </c>
      <c r="P34" s="64">
        <f t="shared" si="13"/>
        <v>0</v>
      </c>
      <c r="Q34" s="64">
        <f t="shared" si="14"/>
        <v>0</v>
      </c>
      <c r="R34" s="271">
        <f t="shared" si="31"/>
        <v>0.25427256902021195</v>
      </c>
      <c r="S34" s="64">
        <f t="shared" si="32"/>
        <v>0.29321684859627822</v>
      </c>
      <c r="T34" s="344">
        <f t="shared" si="33"/>
        <v>15.218280026813064</v>
      </c>
      <c r="U34" s="279">
        <f t="shared" si="34"/>
        <v>15.47237804521129</v>
      </c>
      <c r="V34" s="168">
        <f t="shared" si="15"/>
        <v>3.7941018113450191</v>
      </c>
      <c r="W34" s="184">
        <f t="shared" si="16"/>
        <v>-1.208280026813064</v>
      </c>
      <c r="X34" s="457">
        <f t="shared" si="17"/>
        <v>-11.832439218232851</v>
      </c>
      <c r="Y34" s="72">
        <f t="shared" si="18"/>
        <v>0.79376864955019377</v>
      </c>
      <c r="Z34" s="73">
        <f t="shared" si="19"/>
        <v>0.73837490402131956</v>
      </c>
      <c r="AA34" s="301">
        <f t="shared" si="35"/>
        <v>0.47352047283210025</v>
      </c>
      <c r="AB34" s="69">
        <f t="shared" si="20"/>
        <v>0.44965634395437437</v>
      </c>
      <c r="AC34" s="68">
        <f t="shared" si="21"/>
        <v>0.44965634395437437</v>
      </c>
      <c r="AD34" s="68">
        <f t="shared" si="22"/>
        <v>0.47674980804263911</v>
      </c>
      <c r="AE34" s="23">
        <f t="shared" si="23"/>
        <v>0.96299314512385259</v>
      </c>
      <c r="AF34" s="23">
        <f t="shared" si="24"/>
        <v>0.62454415397653495</v>
      </c>
      <c r="AG34" s="23">
        <f t="shared" si="25"/>
        <v>0.96299314512385259</v>
      </c>
      <c r="AH34" s="23">
        <f t="shared" si="26"/>
        <v>0.62454415397653495</v>
      </c>
      <c r="AI34" s="23">
        <f t="shared" si="27"/>
        <v>0.79376864955019377</v>
      </c>
      <c r="AJ34" s="23">
        <f t="shared" si="28"/>
        <v>0.79376864955019377</v>
      </c>
      <c r="AK34" s="295">
        <f t="shared" si="36"/>
        <v>5.0034371658572391E-4</v>
      </c>
      <c r="AL34" s="70">
        <f t="shared" si="29"/>
        <v>14.01</v>
      </c>
      <c r="AM34" s="191">
        <f t="shared" si="37"/>
        <v>40</v>
      </c>
      <c r="AN34" s="192">
        <f t="shared" si="43"/>
        <v>16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47</v>
      </c>
      <c r="B35" s="64">
        <f t="shared" si="0"/>
        <v>11.672529915804306</v>
      </c>
      <c r="C35" s="64">
        <f t="shared" si="1"/>
        <v>12.672529915804306</v>
      </c>
      <c r="D35" s="183">
        <f t="shared" si="2"/>
        <v>895.91606504671358</v>
      </c>
      <c r="E35" s="64">
        <f t="shared" si="3"/>
        <v>5.5686539999999993E-2</v>
      </c>
      <c r="F35" s="65">
        <f t="shared" si="4"/>
        <v>11468.401623473546</v>
      </c>
      <c r="G35" s="65">
        <f t="shared" si="5"/>
        <v>14930.944382232175</v>
      </c>
      <c r="H35" s="66">
        <f t="shared" si="6"/>
        <v>95.33234863974802</v>
      </c>
      <c r="I35" s="66">
        <f t="shared" si="7"/>
        <v>104.41302285880587</v>
      </c>
      <c r="J35" s="426">
        <f t="shared" si="8"/>
        <v>3.2643727728028886</v>
      </c>
      <c r="K35" s="253">
        <f t="shared" si="9"/>
        <v>0.25448235693169963</v>
      </c>
      <c r="L35" s="271">
        <f t="shared" si="10"/>
        <v>0</v>
      </c>
      <c r="M35" s="272">
        <f t="shared" si="11"/>
        <v>0</v>
      </c>
      <c r="N35" s="256">
        <f t="shared" si="30"/>
        <v>2.8156883276637817E-2</v>
      </c>
      <c r="O35" s="64">
        <f t="shared" si="12"/>
        <v>0.56282270899885289</v>
      </c>
      <c r="P35" s="64">
        <f t="shared" si="13"/>
        <v>0</v>
      </c>
      <c r="Q35" s="64">
        <f t="shared" si="14"/>
        <v>0</v>
      </c>
      <c r="R35" s="271">
        <f t="shared" si="31"/>
        <v>0.25652495597727598</v>
      </c>
      <c r="S35" s="64">
        <f t="shared" si="32"/>
        <v>0.30218210735509443</v>
      </c>
      <c r="T35" s="344">
        <f t="shared" si="33"/>
        <v>15.523766635216203</v>
      </c>
      <c r="U35" s="279">
        <f t="shared" si="34"/>
        <v>15.778248992147903</v>
      </c>
      <c r="V35" s="168">
        <f t="shared" si="15"/>
        <v>3.8512367194118973</v>
      </c>
      <c r="W35" s="184">
        <f t="shared" si="16"/>
        <v>-1.5137666352162036</v>
      </c>
      <c r="X35" s="457">
        <f t="shared" si="17"/>
        <v>-12.086165155905446</v>
      </c>
      <c r="Y35" s="72">
        <f t="shared" si="18"/>
        <v>0.78948828774334079</v>
      </c>
      <c r="Z35" s="73">
        <f t="shared" si="19"/>
        <v>0.73579398761424186</v>
      </c>
      <c r="AA35" s="301">
        <f t="shared" si="35"/>
        <v>0.46854038965983441</v>
      </c>
      <c r="AB35" s="69">
        <f t="shared" si="20"/>
        <v>0.44474849488980084</v>
      </c>
      <c r="AC35" s="68">
        <f t="shared" si="21"/>
        <v>0.44474849488980084</v>
      </c>
      <c r="AD35" s="68">
        <f t="shared" si="22"/>
        <v>0.47158797522848372</v>
      </c>
      <c r="AE35" s="23">
        <f t="shared" si="23"/>
        <v>0.95780024782186768</v>
      </c>
      <c r="AF35" s="23">
        <f t="shared" si="24"/>
        <v>0.6211763276648139</v>
      </c>
      <c r="AG35" s="23">
        <f t="shared" si="25"/>
        <v>0.95780024782186768</v>
      </c>
      <c r="AH35" s="23">
        <f t="shared" si="26"/>
        <v>0.6211763276648139</v>
      </c>
      <c r="AI35" s="23">
        <f t="shared" si="27"/>
        <v>0.78948828774334079</v>
      </c>
      <c r="AJ35" s="23">
        <f t="shared" si="28"/>
        <v>0.78948828774334079</v>
      </c>
      <c r="AK35" s="295">
        <f t="shared" si="36"/>
        <v>4.9396284591939283E-4</v>
      </c>
      <c r="AL35" s="70">
        <f t="shared" si="29"/>
        <v>14.01</v>
      </c>
      <c r="AM35" s="191">
        <f t="shared" si="37"/>
        <v>40</v>
      </c>
      <c r="AN35" s="192">
        <f t="shared" si="43"/>
        <v>16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48</v>
      </c>
      <c r="B36" s="64">
        <f t="shared" si="0"/>
        <v>11.920881616140568</v>
      </c>
      <c r="C36" s="64">
        <f t="shared" si="1"/>
        <v>12.920881616140568</v>
      </c>
      <c r="D36" s="183">
        <f t="shared" si="2"/>
        <v>914.97810898387775</v>
      </c>
      <c r="E36" s="64">
        <f t="shared" si="3"/>
        <v>5.6871359999999996E-2</v>
      </c>
      <c r="F36" s="65">
        <f t="shared" si="4"/>
        <v>11229.476589651182</v>
      </c>
      <c r="G36" s="65">
        <f t="shared" si="5"/>
        <v>14619.883040935672</v>
      </c>
      <c r="H36" s="66">
        <f t="shared" si="6"/>
        <v>95.958529415166126</v>
      </c>
      <c r="I36" s="66">
        <f t="shared" si="7"/>
        <v>104.98505614069249</v>
      </c>
      <c r="J36" s="426">
        <f t="shared" si="8"/>
        <v>3.3127391016634427</v>
      </c>
      <c r="K36" s="253">
        <f t="shared" si="9"/>
        <v>0.25488806278152509</v>
      </c>
      <c r="L36" s="271">
        <f t="shared" si="10"/>
        <v>0</v>
      </c>
      <c r="M36" s="272">
        <f t="shared" si="11"/>
        <v>0</v>
      </c>
      <c r="N36" s="256">
        <f t="shared" si="30"/>
        <v>2.6865516938260687E-2</v>
      </c>
      <c r="O36" s="64">
        <f t="shared" si="12"/>
        <v>0.57479766025414769</v>
      </c>
      <c r="P36" s="64">
        <f t="shared" si="13"/>
        <v>0</v>
      </c>
      <c r="Q36" s="64">
        <f t="shared" si="14"/>
        <v>0</v>
      </c>
      <c r="R36" s="271">
        <f t="shared" si="31"/>
        <v>0.25896036218841922</v>
      </c>
      <c r="S36" s="64">
        <f t="shared" si="32"/>
        <v>0.31164659151045004</v>
      </c>
      <c r="T36" s="344">
        <f t="shared" si="33"/>
        <v>15.831093188441141</v>
      </c>
      <c r="U36" s="279">
        <f t="shared" si="34"/>
        <v>16.085981251222666</v>
      </c>
      <c r="V36" s="168">
        <f t="shared" si="15"/>
        <v>3.9102115723005735</v>
      </c>
      <c r="W36" s="184">
        <f t="shared" si="16"/>
        <v>-1.8210931884411412</v>
      </c>
      <c r="X36" s="457">
        <f t="shared" si="17"/>
        <v>-12.340393138192152</v>
      </c>
      <c r="Y36" s="72">
        <f t="shared" si="18"/>
        <v>0.78518659383708</v>
      </c>
      <c r="Z36" s="73">
        <f t="shared" si="19"/>
        <v>0.73318257517723073</v>
      </c>
      <c r="AA36" s="301">
        <f t="shared" si="35"/>
        <v>0.46348911383270214</v>
      </c>
      <c r="AB36" s="69">
        <f t="shared" si="20"/>
        <v>0.43978183146338079</v>
      </c>
      <c r="AC36" s="68">
        <f t="shared" si="21"/>
        <v>0.43978183146338079</v>
      </c>
      <c r="AD36" s="68">
        <f t="shared" si="22"/>
        <v>0.46636515035446147</v>
      </c>
      <c r="AE36" s="23">
        <f t="shared" si="23"/>
        <v>0.95258147060447862</v>
      </c>
      <c r="AF36" s="23">
        <f t="shared" si="24"/>
        <v>0.61779171706968128</v>
      </c>
      <c r="AG36" s="23">
        <f t="shared" si="25"/>
        <v>0.95258147060447862</v>
      </c>
      <c r="AH36" s="23">
        <f t="shared" si="26"/>
        <v>0.61779171706968128</v>
      </c>
      <c r="AI36" s="23">
        <f t="shared" si="27"/>
        <v>0.78518659383708</v>
      </c>
      <c r="AJ36" s="23">
        <f t="shared" si="28"/>
        <v>0.78518659383708</v>
      </c>
      <c r="AK36" s="295">
        <f t="shared" si="36"/>
        <v>4.8769043704934863E-4</v>
      </c>
      <c r="AL36" s="70">
        <f t="shared" si="29"/>
        <v>14.01</v>
      </c>
      <c r="AM36" s="191">
        <f t="shared" si="37"/>
        <v>40</v>
      </c>
      <c r="AN36" s="192">
        <f t="shared" si="43"/>
        <v>16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49</v>
      </c>
      <c r="B37" s="64">
        <f t="shared" si="0"/>
        <v>12.169233316476831</v>
      </c>
      <c r="C37" s="64">
        <f t="shared" si="1"/>
        <v>13.169233316476831</v>
      </c>
      <c r="D37" s="183">
        <f t="shared" si="2"/>
        <v>934.04015292104191</v>
      </c>
      <c r="E37" s="64">
        <f t="shared" si="3"/>
        <v>5.8056179999999992E-2</v>
      </c>
      <c r="F37" s="65">
        <f t="shared" si="4"/>
        <v>11000.303598025646</v>
      </c>
      <c r="G37" s="65">
        <f t="shared" si="5"/>
        <v>14321.518080916576</v>
      </c>
      <c r="H37" s="66">
        <f t="shared" si="6"/>
        <v>96.593704651496708</v>
      </c>
      <c r="I37" s="66">
        <f t="shared" si="7"/>
        <v>105.56593401113652</v>
      </c>
      <c r="J37" s="426">
        <f t="shared" si="8"/>
        <v>3.3622007964264347</v>
      </c>
      <c r="K37" s="253">
        <f t="shared" si="9"/>
        <v>0.25531642501848939</v>
      </c>
      <c r="L37" s="271">
        <f t="shared" si="10"/>
        <v>0</v>
      </c>
      <c r="M37" s="272">
        <f t="shared" si="11"/>
        <v>0</v>
      </c>
      <c r="N37" s="256">
        <f t="shared" si="30"/>
        <v>2.5639791085157602E-2</v>
      </c>
      <c r="O37" s="64">
        <f t="shared" si="12"/>
        <v>0.58677261150944249</v>
      </c>
      <c r="P37" s="64">
        <f t="shared" si="13"/>
        <v>0</v>
      </c>
      <c r="Q37" s="64">
        <f t="shared" si="14"/>
        <v>0</v>
      </c>
      <c r="R37" s="271">
        <f t="shared" si="31"/>
        <v>0.26158542214208658</v>
      </c>
      <c r="S37" s="64">
        <f t="shared" si="32"/>
        <v>0.32164128470296305</v>
      </c>
      <c r="T37" s="344">
        <f t="shared" si="33"/>
        <v>16.140300610833474</v>
      </c>
      <c r="U37" s="279">
        <f t="shared" si="34"/>
        <v>16.395617035851963</v>
      </c>
      <c r="V37" s="168">
        <f t="shared" si="15"/>
        <v>3.9710672943566436</v>
      </c>
      <c r="W37" s="184">
        <f t="shared" si="16"/>
        <v>-2.1303006108334746</v>
      </c>
      <c r="X37" s="457">
        <f t="shared" si="17"/>
        <v>-12.595141519225237</v>
      </c>
      <c r="Y37" s="72">
        <f t="shared" si="18"/>
        <v>0.78086609479729341</v>
      </c>
      <c r="Z37" s="73">
        <f t="shared" si="19"/>
        <v>0.73054193006565238</v>
      </c>
      <c r="AA37" s="301">
        <f t="shared" si="35"/>
        <v>0.45836974208671732</v>
      </c>
      <c r="AB37" s="69">
        <f t="shared" si="20"/>
        <v>0.43475869637945008</v>
      </c>
      <c r="AC37" s="68">
        <f t="shared" si="21"/>
        <v>0.43475869637945008</v>
      </c>
      <c r="AD37" s="68">
        <f t="shared" si="22"/>
        <v>0.46108386013130476</v>
      </c>
      <c r="AE37" s="23">
        <f t="shared" si="23"/>
        <v>0.94733987916447104</v>
      </c>
      <c r="AF37" s="23">
        <f t="shared" si="24"/>
        <v>0.61439231043011566</v>
      </c>
      <c r="AG37" s="23">
        <f t="shared" si="25"/>
        <v>0.94733987916447104</v>
      </c>
      <c r="AH37" s="23">
        <f t="shared" si="26"/>
        <v>0.61439231043011566</v>
      </c>
      <c r="AI37" s="23">
        <f t="shared" si="27"/>
        <v>0.78086609479729341</v>
      </c>
      <c r="AJ37" s="23">
        <f t="shared" si="28"/>
        <v>0.78086609479729341</v>
      </c>
      <c r="AK37" s="295">
        <f t="shared" si="36"/>
        <v>4.815263156239067E-4</v>
      </c>
      <c r="AL37" s="70">
        <f t="shared" si="29"/>
        <v>14.01</v>
      </c>
      <c r="AM37" s="191">
        <f t="shared" si="37"/>
        <v>40</v>
      </c>
      <c r="AN37" s="192">
        <f t="shared" si="43"/>
        <v>16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50</v>
      </c>
      <c r="B38" s="76">
        <f t="shared" si="0"/>
        <v>12.417585016813092</v>
      </c>
      <c r="C38" s="76">
        <f t="shared" si="1"/>
        <v>13.417585016813092</v>
      </c>
      <c r="D38" s="185">
        <f t="shared" si="2"/>
        <v>953.10219685820596</v>
      </c>
      <c r="E38" s="76">
        <f t="shared" si="3"/>
        <v>5.9240999999999995E-2</v>
      </c>
      <c r="F38" s="77">
        <f t="shared" si="4"/>
        <v>10780.297526065133</v>
      </c>
      <c r="G38" s="77">
        <f t="shared" si="5"/>
        <v>14035.087719298244</v>
      </c>
      <c r="H38" s="78">
        <f t="shared" si="6"/>
        <v>97.237698088284091</v>
      </c>
      <c r="I38" s="78">
        <f t="shared" si="7"/>
        <v>106.15551127874303</v>
      </c>
      <c r="J38" s="427">
        <f t="shared" si="8"/>
        <v>3.4127654399053582</v>
      </c>
      <c r="K38" s="254">
        <f t="shared" si="9"/>
        <v>0.25576879613751613</v>
      </c>
      <c r="L38" s="257">
        <f t="shared" si="10"/>
        <v>0</v>
      </c>
      <c r="M38" s="273">
        <f t="shared" si="11"/>
        <v>0</v>
      </c>
      <c r="N38" s="270">
        <f t="shared" si="30"/>
        <v>2.4476152091245817E-2</v>
      </c>
      <c r="O38" s="76">
        <f t="shared" si="12"/>
        <v>0.59874756276473717</v>
      </c>
      <c r="P38" s="76">
        <f t="shared" si="13"/>
        <v>0</v>
      </c>
      <c r="Q38" s="76">
        <f t="shared" si="14"/>
        <v>0</v>
      </c>
      <c r="R38" s="257">
        <f t="shared" si="31"/>
        <v>0.26440726881869725</v>
      </c>
      <c r="S38" s="76">
        <f t="shared" si="32"/>
        <v>0.33219995242804601</v>
      </c>
      <c r="T38" s="283">
        <f t="shared" si="33"/>
        <v>16.451433830056438</v>
      </c>
      <c r="U38" s="280">
        <f t="shared" si="34"/>
        <v>16.707202626193954</v>
      </c>
      <c r="V38" s="186">
        <f t="shared" si="15"/>
        <v>4.0338488132433454</v>
      </c>
      <c r="W38" s="187">
        <f t="shared" si="16"/>
        <v>-2.4414338300564378</v>
      </c>
      <c r="X38" s="458">
        <f t="shared" si="17"/>
        <v>-12.850430761106738</v>
      </c>
      <c r="Y38" s="80">
        <f t="shared" si="18"/>
        <v>0.77652924131704126</v>
      </c>
      <c r="Z38" s="83">
        <f t="shared" si="19"/>
        <v>0.72787330977586673</v>
      </c>
      <c r="AA38" s="300">
        <f t="shared" si="35"/>
        <v>0.45318532777567611</v>
      </c>
      <c r="AB38" s="79">
        <f t="shared" si="20"/>
        <v>0.4296814217618552</v>
      </c>
      <c r="AC38" s="80">
        <f t="shared" si="21"/>
        <v>0.4296814217618552</v>
      </c>
      <c r="AD38" s="80">
        <f t="shared" si="22"/>
        <v>0.45574661955173346</v>
      </c>
      <c r="AE38" s="84">
        <f t="shared" si="23"/>
        <v>0.94207844666111396</v>
      </c>
      <c r="AF38" s="84">
        <f t="shared" si="24"/>
        <v>0.61098003597296868</v>
      </c>
      <c r="AG38" s="84">
        <f t="shared" si="25"/>
        <v>0.94207844666111396</v>
      </c>
      <c r="AH38" s="84">
        <f t="shared" si="26"/>
        <v>0.61098003597296868</v>
      </c>
      <c r="AI38" s="84">
        <f t="shared" si="27"/>
        <v>0.77652924131704126</v>
      </c>
      <c r="AJ38" s="84">
        <f t="shared" si="28"/>
        <v>0.77652924131704126</v>
      </c>
      <c r="AK38" s="387">
        <f t="shared" si="36"/>
        <v>4.7547007453960764E-4</v>
      </c>
      <c r="AL38" s="81">
        <f t="shared" si="29"/>
        <v>14.01</v>
      </c>
      <c r="AM38" s="194">
        <f t="shared" si="37"/>
        <v>40</v>
      </c>
      <c r="AN38" s="195">
        <f>ROUNDUP(L6,0)</f>
        <v>16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0.58786234716967911</v>
      </c>
      <c r="AP39" s="355">
        <f>SUM(AP18:AP38)</f>
        <v>100.66881037369001</v>
      </c>
      <c r="AQ39" s="356">
        <f>SUM(AQ18:AQ38)</f>
        <v>0.81442547332184878</v>
      </c>
      <c r="AR39" s="356">
        <f>SUM(AR18:AR38)</f>
        <v>0.81442547332184878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-0.29946702198534303</v>
      </c>
      <c r="AB41" s="294">
        <f t="shared" ref="AB41:AB69" si="46">MAX(MIN(B_1*Tb_eff*($AA41)/(SQRT(2)*$AG$9),10),-10)</f>
        <v>-0.54431618962952799</v>
      </c>
      <c r="AC41" s="294">
        <f t="shared" ref="AC41:AC69" si="47">MAX(MIN(B_1*Tb_eff*(1-$AA41)/(SQRT(2)*$AG$9),10),-10)</f>
        <v>2.3619326537761838</v>
      </c>
      <c r="AD41" s="315">
        <f t="shared" ref="AD41:AD69" si="48">(ERF(AB41)+1)/2</f>
        <v>0.22071539921495598</v>
      </c>
      <c r="AE41" s="315">
        <f t="shared" ref="AE41:AE69" si="49">(ERF(AC41)+1)/2</f>
        <v>0.99958152596035932</v>
      </c>
      <c r="AF41" s="316">
        <f t="shared" ref="AF41:AF69" si="50">AD41+AE41-1</f>
        <v>0.22029692517531529</v>
      </c>
      <c r="AG41" s="316">
        <f t="shared" ref="AG41:AG69" si="51">1-AD41</f>
        <v>0.77928460078504402</v>
      </c>
      <c r="AH41" s="316">
        <f t="shared" ref="AH41:AH69" si="52">1-AE41</f>
        <v>4.1847403964068164E-4</v>
      </c>
      <c r="AI41" s="316">
        <f t="shared" ref="AI41:AI69" si="53">1-AF41</f>
        <v>0.77970307482468471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-0.25</v>
      </c>
      <c r="AM41" s="313">
        <f t="shared" ref="AM41:AM69" si="57">$Z41+$G$9/(2*$Y$44)</f>
        <v>-0.25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-0.490438351213207</v>
      </c>
      <c r="AQ41" s="294">
        <f t="shared" ref="AQ41:AQ69" si="59">MAX(MIN(B_1*Tb_eff*(1-$AA41)/(SQRT(2)*$AP$39),10),-10)</f>
        <v>2.1281423894134828</v>
      </c>
      <c r="AR41" s="315">
        <f t="shared" ref="AR41:AR69" si="60">(ERF(AP41)+1)/2</f>
        <v>0.24397138720337286</v>
      </c>
      <c r="AS41" s="315">
        <f t="shared" ref="AS41:AS69" si="61">(ERF(AQ41)+1)/2</f>
        <v>0.99869224618646868</v>
      </c>
      <c r="AT41" s="316">
        <f t="shared" ref="AT41:AT69" si="62">AR41+AS41-1</f>
        <v>0.24266363338984154</v>
      </c>
      <c r="AU41" s="316">
        <f t="shared" ref="AU41:AU69" si="63">1-AR41</f>
        <v>0.75602861279662714</v>
      </c>
      <c r="AV41" s="316">
        <f t="shared" ref="AV41:AV69" si="64">1-AS41</f>
        <v>1.3077538135313205E-3</v>
      </c>
      <c r="AW41" s="338">
        <f t="shared" ref="AW41:AW69" si="65">1-AT41</f>
        <v>0.75733636661015846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-0.2461692205196534</v>
      </c>
      <c r="AB42" s="294">
        <f t="shared" si="46"/>
        <v>-0.44744122818267074</v>
      </c>
      <c r="AC42" s="294">
        <f t="shared" si="47"/>
        <v>2.265057692329326</v>
      </c>
      <c r="AD42" s="315">
        <f t="shared" si="48"/>
        <v>0.26343949119425492</v>
      </c>
      <c r="AE42" s="315">
        <f t="shared" si="49"/>
        <v>0.99932062989306525</v>
      </c>
      <c r="AF42" s="316">
        <f t="shared" si="50"/>
        <v>0.26276012108732028</v>
      </c>
      <c r="AG42" s="316">
        <f t="shared" si="51"/>
        <v>0.73656050880574508</v>
      </c>
      <c r="AH42" s="316">
        <f t="shared" si="52"/>
        <v>6.7937010693475131E-4</v>
      </c>
      <c r="AI42" s="316">
        <f t="shared" si="53"/>
        <v>0.73723987891267972</v>
      </c>
      <c r="AJ42" s="294">
        <f t="shared" si="54"/>
        <v>-1.2</v>
      </c>
      <c r="AK42" s="294">
        <f t="shared" si="55"/>
        <v>0.8</v>
      </c>
      <c r="AL42" s="294">
        <f t="shared" si="56"/>
        <v>-0.2</v>
      </c>
      <c r="AM42" s="313">
        <f t="shared" si="57"/>
        <v>-0.2</v>
      </c>
      <c r="AN42" s="294">
        <f>$C$13</f>
        <v>0.4</v>
      </c>
      <c r="AO42" s="296">
        <f>$C$14</f>
        <v>0.25</v>
      </c>
      <c r="AP42" s="314">
        <f t="shared" si="58"/>
        <v>-0.40315232652565047</v>
      </c>
      <c r="AQ42" s="294">
        <f t="shared" si="59"/>
        <v>2.0408563647259257</v>
      </c>
      <c r="AR42" s="315">
        <f t="shared" si="60"/>
        <v>0.28429019080934159</v>
      </c>
      <c r="AS42" s="315">
        <f t="shared" si="61"/>
        <v>0.99805042038505132</v>
      </c>
      <c r="AT42" s="316">
        <f t="shared" si="62"/>
        <v>0.28234061119439291</v>
      </c>
      <c r="AU42" s="316">
        <f t="shared" si="63"/>
        <v>0.71570980919065841</v>
      </c>
      <c r="AV42" s="316">
        <f t="shared" si="64"/>
        <v>1.9495796149486821E-3</v>
      </c>
      <c r="AW42" s="338">
        <f t="shared" si="65"/>
        <v>0.71765938880560709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-0.19287141905396399</v>
      </c>
      <c r="AB43" s="294">
        <f t="shared" si="46"/>
        <v>-0.35056626673581393</v>
      </c>
      <c r="AC43" s="294">
        <f t="shared" si="47"/>
        <v>2.1681827308824695</v>
      </c>
      <c r="AD43" s="315">
        <f t="shared" si="48"/>
        <v>0.31002638183094283</v>
      </c>
      <c r="AE43" s="315">
        <f t="shared" si="49"/>
        <v>0.99891627494881874</v>
      </c>
      <c r="AF43" s="316">
        <f t="shared" si="50"/>
        <v>0.30894265677976152</v>
      </c>
      <c r="AG43" s="316">
        <f t="shared" si="51"/>
        <v>0.68997361816905722</v>
      </c>
      <c r="AH43" s="316">
        <f t="shared" si="52"/>
        <v>1.0837250511812613E-3</v>
      </c>
      <c r="AI43" s="316">
        <f t="shared" si="53"/>
        <v>0.69105734322023848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-0.15000000000000002</v>
      </c>
      <c r="AM43" s="313">
        <f t="shared" si="57"/>
        <v>-0.15000000000000002</v>
      </c>
      <c r="AN43" s="294">
        <f>1-AN42</f>
        <v>0.6</v>
      </c>
      <c r="AO43" s="296">
        <f>$C$14</f>
        <v>0.25</v>
      </c>
      <c r="AP43" s="314">
        <f t="shared" si="58"/>
        <v>-0.31586630183809439</v>
      </c>
      <c r="AQ43" s="294">
        <f t="shared" si="59"/>
        <v>1.9535703400383699</v>
      </c>
      <c r="AR43" s="315">
        <f t="shared" si="60"/>
        <v>0.32754497150286993</v>
      </c>
      <c r="AS43" s="315">
        <f t="shared" si="61"/>
        <v>0.99713430512388013</v>
      </c>
      <c r="AT43" s="316">
        <f t="shared" si="62"/>
        <v>0.32467927662675011</v>
      </c>
      <c r="AU43" s="316">
        <f t="shared" si="63"/>
        <v>0.67245502849713001</v>
      </c>
      <c r="AV43" s="316">
        <f t="shared" si="64"/>
        <v>2.8656948761198731E-3</v>
      </c>
      <c r="AW43" s="338">
        <f t="shared" si="65"/>
        <v>0.67532072337324989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6"/>
        <v>-0.10000000000000002</v>
      </c>
      <c r="AA44" s="294">
        <f t="shared" si="45"/>
        <v>-0.13957361758827436</v>
      </c>
      <c r="AB44" s="294">
        <f t="shared" si="46"/>
        <v>-0.25369130528895673</v>
      </c>
      <c r="AC44" s="294">
        <f t="shared" si="47"/>
        <v>2.0713077694356117</v>
      </c>
      <c r="AD44" s="315">
        <f t="shared" si="48"/>
        <v>0.35988220023205941</v>
      </c>
      <c r="AE44" s="315">
        <f t="shared" si="49"/>
        <v>0.99830121264442029</v>
      </c>
      <c r="AF44" s="316">
        <f t="shared" si="50"/>
        <v>0.35818341287647959</v>
      </c>
      <c r="AG44" s="316">
        <f t="shared" si="51"/>
        <v>0.64011779976794059</v>
      </c>
      <c r="AH44" s="316">
        <f t="shared" si="52"/>
        <v>1.6987873555797117E-3</v>
      </c>
      <c r="AI44" s="316">
        <f t="shared" si="53"/>
        <v>0.64181658712352041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-0.10000000000000002</v>
      </c>
      <c r="AM44" s="313">
        <f t="shared" si="57"/>
        <v>-0.10000000000000002</v>
      </c>
      <c r="AN44" s="294">
        <f>1-AN41</f>
        <v>0.7</v>
      </c>
      <c r="AO44" s="296">
        <v>0.5</v>
      </c>
      <c r="AP44" s="314">
        <f t="shared" si="58"/>
        <v>-0.22858027715053791</v>
      </c>
      <c r="AQ44" s="294">
        <f t="shared" si="59"/>
        <v>1.8662843153508131</v>
      </c>
      <c r="AR44" s="315">
        <f t="shared" si="60"/>
        <v>0.37324866939481105</v>
      </c>
      <c r="AS44" s="315">
        <f t="shared" si="61"/>
        <v>0.99584642997487838</v>
      </c>
      <c r="AT44" s="316">
        <f t="shared" si="62"/>
        <v>0.36909509936968954</v>
      </c>
      <c r="AU44" s="316">
        <f t="shared" si="63"/>
        <v>0.62675133060518895</v>
      </c>
      <c r="AV44" s="316">
        <f t="shared" si="64"/>
        <v>4.1535700251216223E-3</v>
      </c>
      <c r="AW44" s="338">
        <f t="shared" si="65"/>
        <v>0.63090490063031046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-8.6275816122584947E-2</v>
      </c>
      <c r="AB45" s="294">
        <f t="shared" si="46"/>
        <v>-0.15681634384209986</v>
      </c>
      <c r="AC45" s="294">
        <f t="shared" si="47"/>
        <v>1.9744328079887554</v>
      </c>
      <c r="AD45" s="315">
        <f t="shared" si="48"/>
        <v>0.41224576648183531</v>
      </c>
      <c r="AE45" s="315">
        <f t="shared" si="49"/>
        <v>0.99738301409518948</v>
      </c>
      <c r="AF45" s="316">
        <f t="shared" si="50"/>
        <v>0.4096287805770249</v>
      </c>
      <c r="AG45" s="316">
        <f t="shared" si="51"/>
        <v>0.58775423351816469</v>
      </c>
      <c r="AH45" s="316">
        <f t="shared" si="52"/>
        <v>2.6169859048105204E-3</v>
      </c>
      <c r="AI45" s="316">
        <f t="shared" si="53"/>
        <v>0.5903712194229751</v>
      </c>
      <c r="AJ45" s="294">
        <f t="shared" si="54"/>
        <v>-1.05</v>
      </c>
      <c r="AK45" s="294">
        <f t="shared" si="55"/>
        <v>0.95</v>
      </c>
      <c r="AL45" s="294">
        <f t="shared" si="56"/>
        <v>-5.0000000000000017E-2</v>
      </c>
      <c r="AM45" s="313">
        <f t="shared" si="57"/>
        <v>-5.0000000000000017E-2</v>
      </c>
      <c r="AN45" s="294">
        <f>AN43</f>
        <v>0.6</v>
      </c>
      <c r="AO45" s="296">
        <f>1-$C$14</f>
        <v>0.75</v>
      </c>
      <c r="AP45" s="314">
        <f t="shared" si="58"/>
        <v>-0.1412942524629818</v>
      </c>
      <c r="AQ45" s="294">
        <f t="shared" si="59"/>
        <v>1.7789982906632573</v>
      </c>
      <c r="AR45" s="315">
        <f t="shared" si="60"/>
        <v>0.42081058248400371</v>
      </c>
      <c r="AS45" s="315">
        <f t="shared" si="61"/>
        <v>0.99406327901562452</v>
      </c>
      <c r="AT45" s="316">
        <f t="shared" si="62"/>
        <v>0.41487386149962813</v>
      </c>
      <c r="AU45" s="316">
        <f t="shared" si="63"/>
        <v>0.57918941751599629</v>
      </c>
      <c r="AV45" s="316">
        <f t="shared" si="64"/>
        <v>5.9367209843754765E-3</v>
      </c>
      <c r="AW45" s="338">
        <f t="shared" si="65"/>
        <v>0.58512613850037187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-3.2978014656895316E-2</v>
      </c>
      <c r="AB46" s="294">
        <f t="shared" si="46"/>
        <v>-5.9941382395242652E-2</v>
      </c>
      <c r="AC46" s="294">
        <f t="shared" si="47"/>
        <v>1.8775578465418981</v>
      </c>
      <c r="AD46" s="315">
        <f t="shared" si="48"/>
        <v>0.46622215551807583</v>
      </c>
      <c r="AE46" s="315">
        <f t="shared" si="49"/>
        <v>0.99603772618011566</v>
      </c>
      <c r="AF46" s="316">
        <f t="shared" si="50"/>
        <v>0.46225988169819154</v>
      </c>
      <c r="AG46" s="316">
        <f t="shared" si="51"/>
        <v>0.53377784448192411</v>
      </c>
      <c r="AH46" s="316">
        <f t="shared" si="52"/>
        <v>3.9622738198843432E-3</v>
      </c>
      <c r="AI46" s="316">
        <f t="shared" si="53"/>
        <v>0.53774011830180846</v>
      </c>
      <c r="AJ46" s="294">
        <f t="shared" si="54"/>
        <v>-1</v>
      </c>
      <c r="AK46" s="294">
        <f t="shared" si="55"/>
        <v>1</v>
      </c>
      <c r="AL46" s="294">
        <f t="shared" si="56"/>
        <v>0</v>
      </c>
      <c r="AM46" s="313">
        <f t="shared" si="57"/>
        <v>0</v>
      </c>
      <c r="AN46" s="294">
        <f>AN42</f>
        <v>0.4</v>
      </c>
      <c r="AO46" s="296">
        <f>AO45</f>
        <v>0.75</v>
      </c>
      <c r="AP46" s="314">
        <f t="shared" si="58"/>
        <v>-5.4008227775425334E-2</v>
      </c>
      <c r="AQ46" s="294">
        <f t="shared" si="59"/>
        <v>1.6917122659757007</v>
      </c>
      <c r="AR46" s="315">
        <f t="shared" si="60"/>
        <v>0.46955872127694048</v>
      </c>
      <c r="AS46" s="315">
        <f t="shared" si="61"/>
        <v>0.99163167323340595</v>
      </c>
      <c r="AT46" s="316">
        <f t="shared" si="62"/>
        <v>0.46119039451034638</v>
      </c>
      <c r="AU46" s="316">
        <f t="shared" si="63"/>
        <v>0.53044127872305946</v>
      </c>
      <c r="AV46" s="316">
        <f t="shared" si="64"/>
        <v>8.3683267665940475E-3</v>
      </c>
      <c r="AW46" s="338">
        <f t="shared" si="65"/>
        <v>0.53880960548965362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2.0319786808794205E-2</v>
      </c>
      <c r="AB47" s="294">
        <f t="shared" si="46"/>
        <v>3.6933579051614381E-2</v>
      </c>
      <c r="AC47" s="294">
        <f t="shared" si="47"/>
        <v>1.7806828850950411</v>
      </c>
      <c r="AD47" s="315">
        <f t="shared" si="48"/>
        <v>0.52082806970500695</v>
      </c>
      <c r="AE47" s="315">
        <f t="shared" si="49"/>
        <v>0.99410328719514207</v>
      </c>
      <c r="AF47" s="316">
        <f t="shared" si="50"/>
        <v>0.51493135690014902</v>
      </c>
      <c r="AG47" s="316">
        <f t="shared" si="51"/>
        <v>0.47917193029499305</v>
      </c>
      <c r="AH47" s="316">
        <f t="shared" si="52"/>
        <v>5.8967128048579287E-3</v>
      </c>
      <c r="AI47" s="316">
        <f t="shared" si="53"/>
        <v>0.48506864309985098</v>
      </c>
      <c r="AJ47" s="294">
        <f t="shared" si="54"/>
        <v>-0.95</v>
      </c>
      <c r="AK47" s="294">
        <f t="shared" si="55"/>
        <v>1.05</v>
      </c>
      <c r="AL47" s="294">
        <f t="shared" si="56"/>
        <v>0.05</v>
      </c>
      <c r="AM47" s="313">
        <f t="shared" si="57"/>
        <v>0.05</v>
      </c>
      <c r="AN47" s="319">
        <f>AN41</f>
        <v>0.3</v>
      </c>
      <c r="AO47" s="337">
        <v>0.5</v>
      </c>
      <c r="AP47" s="314">
        <f t="shared" si="58"/>
        <v>3.3277796912130959E-2</v>
      </c>
      <c r="AQ47" s="294">
        <f t="shared" si="59"/>
        <v>1.6044262412881445</v>
      </c>
      <c r="AR47" s="315">
        <f t="shared" si="60"/>
        <v>0.51876805813617577</v>
      </c>
      <c r="AS47" s="315">
        <f t="shared" si="61"/>
        <v>0.98836587812111176</v>
      </c>
      <c r="AT47" s="316">
        <f t="shared" si="62"/>
        <v>0.50713393625728753</v>
      </c>
      <c r="AU47" s="316">
        <f t="shared" si="63"/>
        <v>0.48123194186382423</v>
      </c>
      <c r="AV47" s="316">
        <f t="shared" si="64"/>
        <v>1.1634121878888237E-2</v>
      </c>
      <c r="AW47" s="338">
        <f t="shared" si="65"/>
        <v>0.49286606374271247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7.3617588274483725E-2</v>
      </c>
      <c r="AB48" s="294">
        <f t="shared" si="46"/>
        <v>0.13380854049847138</v>
      </c>
      <c r="AC48" s="294">
        <f t="shared" si="47"/>
        <v>1.683807923648184</v>
      </c>
      <c r="AD48" s="315">
        <f t="shared" si="48"/>
        <v>0.57504523184121803</v>
      </c>
      <c r="AE48" s="315">
        <f t="shared" si="49"/>
        <v>0.99137332900252884</v>
      </c>
      <c r="AF48" s="316">
        <f t="shared" si="50"/>
        <v>0.56641856084374687</v>
      </c>
      <c r="AG48" s="316">
        <f t="shared" si="51"/>
        <v>0.42495476815878197</v>
      </c>
      <c r="AH48" s="316">
        <f t="shared" si="52"/>
        <v>8.6266709974711642E-3</v>
      </c>
      <c r="AI48" s="316">
        <f t="shared" si="53"/>
        <v>0.43358143915625313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0.1</v>
      </c>
      <c r="AM48" s="313">
        <f t="shared" si="57"/>
        <v>0.1</v>
      </c>
      <c r="AP48" s="314">
        <f t="shared" si="58"/>
        <v>0.12056382159968725</v>
      </c>
      <c r="AQ48" s="294">
        <f t="shared" si="59"/>
        <v>1.5171402166005883</v>
      </c>
      <c r="AR48" s="315">
        <f t="shared" si="60"/>
        <v>0.5676927090869317</v>
      </c>
      <c r="AS48" s="315">
        <f t="shared" si="61"/>
        <v>0.98404596097709218</v>
      </c>
      <c r="AT48" s="316">
        <f t="shared" si="62"/>
        <v>0.55173867006402388</v>
      </c>
      <c r="AU48" s="316">
        <f t="shared" si="63"/>
        <v>0.4323072909130683</v>
      </c>
      <c r="AV48" s="316">
        <f t="shared" si="64"/>
        <v>1.5954039022907818E-2</v>
      </c>
      <c r="AW48" s="338">
        <f t="shared" si="65"/>
        <v>0.44826132993597612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0.1269153897401733</v>
      </c>
      <c r="AB49" s="294">
        <f t="shared" si="46"/>
        <v>0.23068350194532852</v>
      </c>
      <c r="AC49" s="294">
        <f t="shared" si="47"/>
        <v>1.5869329622013268</v>
      </c>
      <c r="AD49" s="315">
        <f t="shared" si="48"/>
        <v>0.62787699755702331</v>
      </c>
      <c r="AE49" s="315">
        <f t="shared" si="49"/>
        <v>0.98759222929718948</v>
      </c>
      <c r="AF49" s="316">
        <f t="shared" si="50"/>
        <v>0.61546922685421279</v>
      </c>
      <c r="AG49" s="316">
        <f t="shared" si="51"/>
        <v>0.37212300244297669</v>
      </c>
      <c r="AH49" s="316">
        <f t="shared" si="52"/>
        <v>1.2407770702810517E-2</v>
      </c>
      <c r="AI49" s="316">
        <f t="shared" si="53"/>
        <v>0.38453077314578721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0.15000000000000002</v>
      </c>
      <c r="AM49" s="313">
        <f t="shared" si="57"/>
        <v>0.15000000000000002</v>
      </c>
      <c r="AP49" s="314">
        <f t="shared" si="58"/>
        <v>0.20784984628724365</v>
      </c>
      <c r="AQ49" s="294">
        <f t="shared" si="59"/>
        <v>1.4298541919130319</v>
      </c>
      <c r="AR49" s="315">
        <f t="shared" si="60"/>
        <v>0.61559967966693352</v>
      </c>
      <c r="AS49" s="315">
        <f t="shared" si="61"/>
        <v>0.97841798003365277</v>
      </c>
      <c r="AT49" s="316">
        <f t="shared" si="62"/>
        <v>0.59401765970058618</v>
      </c>
      <c r="AU49" s="316">
        <f t="shared" si="63"/>
        <v>0.38440032033306648</v>
      </c>
      <c r="AV49" s="316">
        <f t="shared" si="64"/>
        <v>2.1582019966347232E-2</v>
      </c>
      <c r="AW49" s="338">
        <f t="shared" si="65"/>
        <v>0.40598234029941382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0.18021319120586282</v>
      </c>
      <c r="AB50" s="294">
        <f t="shared" si="46"/>
        <v>0.32755846339218558</v>
      </c>
      <c r="AC50" s="294">
        <f t="shared" si="47"/>
        <v>1.4900580007544699</v>
      </c>
      <c r="AD50" s="315">
        <f t="shared" si="48"/>
        <v>0.67840297378747283</v>
      </c>
      <c r="AE50" s="315">
        <f t="shared" si="49"/>
        <v>0.98245248582075995</v>
      </c>
      <c r="AF50" s="316">
        <f t="shared" si="50"/>
        <v>0.66085545960823278</v>
      </c>
      <c r="AG50" s="316">
        <f t="shared" si="51"/>
        <v>0.32159702621252717</v>
      </c>
      <c r="AH50" s="316">
        <f t="shared" si="52"/>
        <v>1.7547514179240054E-2</v>
      </c>
      <c r="AI50" s="316">
        <f t="shared" si="53"/>
        <v>0.33914454039176722</v>
      </c>
      <c r="AJ50" s="294">
        <f t="shared" si="54"/>
        <v>-0.8</v>
      </c>
      <c r="AK50" s="294">
        <f t="shared" si="55"/>
        <v>1.2</v>
      </c>
      <c r="AL50" s="294">
        <f t="shared" si="56"/>
        <v>0.2</v>
      </c>
      <c r="AM50" s="313">
        <f t="shared" si="57"/>
        <v>0.2</v>
      </c>
      <c r="AP50" s="314">
        <f t="shared" si="58"/>
        <v>0.29513587097479993</v>
      </c>
      <c r="AQ50" s="294">
        <f t="shared" si="59"/>
        <v>1.3425681672254755</v>
      </c>
      <c r="AR50" s="315">
        <f t="shared" si="60"/>
        <v>0.6618016430220115</v>
      </c>
      <c r="AS50" s="315">
        <f t="shared" si="61"/>
        <v>0.97119659433780414</v>
      </c>
      <c r="AT50" s="316">
        <f t="shared" si="62"/>
        <v>0.63299823735981553</v>
      </c>
      <c r="AU50" s="316">
        <f t="shared" si="63"/>
        <v>0.3381983569779885</v>
      </c>
      <c r="AV50" s="316">
        <f t="shared" si="64"/>
        <v>2.8803405662195858E-2</v>
      </c>
      <c r="AW50" s="338">
        <f t="shared" si="65"/>
        <v>0.36700176264018447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0.23351099267155234</v>
      </c>
      <c r="AB51" s="294">
        <f t="shared" si="46"/>
        <v>0.42443342483904256</v>
      </c>
      <c r="AC51" s="294">
        <f t="shared" si="47"/>
        <v>1.393183039307613</v>
      </c>
      <c r="AD51" s="315">
        <f t="shared" si="48"/>
        <v>0.72582668571739095</v>
      </c>
      <c r="AE51" s="315">
        <f t="shared" si="49"/>
        <v>0.9755956153327543</v>
      </c>
      <c r="AF51" s="316">
        <f t="shared" si="50"/>
        <v>0.70142230105014525</v>
      </c>
      <c r="AG51" s="316">
        <f t="shared" si="51"/>
        <v>0.27417331428260905</v>
      </c>
      <c r="AH51" s="316">
        <f t="shared" si="52"/>
        <v>2.4404384667245704E-2</v>
      </c>
      <c r="AI51" s="316">
        <f t="shared" si="53"/>
        <v>0.29857769894985475</v>
      </c>
      <c r="AJ51" s="294">
        <f t="shared" si="54"/>
        <v>-0.75</v>
      </c>
      <c r="AK51" s="294">
        <f t="shared" si="55"/>
        <v>1.25</v>
      </c>
      <c r="AL51" s="294">
        <f t="shared" si="56"/>
        <v>0.25</v>
      </c>
      <c r="AM51" s="313">
        <f t="shared" si="57"/>
        <v>0.25</v>
      </c>
      <c r="AP51" s="314">
        <f t="shared" si="58"/>
        <v>0.38242189566235624</v>
      </c>
      <c r="AQ51" s="294">
        <f t="shared" si="59"/>
        <v>1.2552821425379193</v>
      </c>
      <c r="AR51" s="315">
        <f t="shared" si="60"/>
        <v>0.70568631966332385</v>
      </c>
      <c r="AS51" s="315">
        <f t="shared" si="61"/>
        <v>0.96207062112290986</v>
      </c>
      <c r="AT51" s="316">
        <f t="shared" si="62"/>
        <v>0.6677569407862336</v>
      </c>
      <c r="AU51" s="316">
        <f t="shared" si="63"/>
        <v>0.29431368033667615</v>
      </c>
      <c r="AV51" s="316">
        <f t="shared" si="64"/>
        <v>3.7929378877090136E-2</v>
      </c>
      <c r="AW51" s="338">
        <f t="shared" si="65"/>
        <v>0.3322430592137664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0.28680879413724186</v>
      </c>
      <c r="AB52" s="294">
        <f t="shared" si="46"/>
        <v>0.52130838628589959</v>
      </c>
      <c r="AC52" s="294">
        <f t="shared" si="47"/>
        <v>1.2963080778607559</v>
      </c>
      <c r="AD52" s="315">
        <f t="shared" si="48"/>
        <v>0.76951221637900979</v>
      </c>
      <c r="AE52" s="315">
        <f t="shared" si="49"/>
        <v>0.96661777981690644</v>
      </c>
      <c r="AF52" s="316">
        <f t="shared" si="50"/>
        <v>0.73612999619591624</v>
      </c>
      <c r="AG52" s="316">
        <f t="shared" si="51"/>
        <v>0.23048778362099021</v>
      </c>
      <c r="AH52" s="316">
        <f t="shared" si="52"/>
        <v>3.3382220183093558E-2</v>
      </c>
      <c r="AI52" s="316">
        <f t="shared" si="53"/>
        <v>0.26387000380408376</v>
      </c>
      <c r="AJ52" s="294">
        <f t="shared" si="54"/>
        <v>-0.7</v>
      </c>
      <c r="AK52" s="294">
        <f t="shared" si="55"/>
        <v>1.3</v>
      </c>
      <c r="AL52" s="294">
        <f t="shared" si="56"/>
        <v>0.3</v>
      </c>
      <c r="AM52" s="313">
        <f t="shared" si="57"/>
        <v>0.3</v>
      </c>
      <c r="AP52" s="314">
        <f t="shared" si="58"/>
        <v>0.46970792034991254</v>
      </c>
      <c r="AQ52" s="294">
        <f t="shared" si="59"/>
        <v>1.1679961178503628</v>
      </c>
      <c r="AR52" s="315">
        <f t="shared" si="60"/>
        <v>0.74674038056936953</v>
      </c>
      <c r="AS52" s="315">
        <f t="shared" si="61"/>
        <v>0.95071192276988703</v>
      </c>
      <c r="AT52" s="316">
        <f t="shared" si="62"/>
        <v>0.69745230333925656</v>
      </c>
      <c r="AU52" s="316">
        <f t="shared" si="63"/>
        <v>0.25325961943063047</v>
      </c>
      <c r="AV52" s="316">
        <f t="shared" si="64"/>
        <v>4.928807723011297E-2</v>
      </c>
      <c r="AW52" s="338">
        <f t="shared" si="65"/>
        <v>0.30254769666074344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0.34010659560293138</v>
      </c>
      <c r="AB53" s="294">
        <f t="shared" si="46"/>
        <v>0.61818334773275663</v>
      </c>
      <c r="AC53" s="294">
        <f t="shared" si="47"/>
        <v>1.1994331164138989</v>
      </c>
      <c r="AD53" s="315">
        <f t="shared" si="48"/>
        <v>0.80900710801218689</v>
      </c>
      <c r="AE53" s="315">
        <f t="shared" si="49"/>
        <v>0.95508116099069484</v>
      </c>
      <c r="AF53" s="316">
        <f t="shared" si="50"/>
        <v>0.76408826900288185</v>
      </c>
      <c r="AG53" s="316">
        <f t="shared" si="51"/>
        <v>0.19099289198781311</v>
      </c>
      <c r="AH53" s="316">
        <f t="shared" si="52"/>
        <v>4.4918839009305156E-2</v>
      </c>
      <c r="AI53" s="316">
        <f t="shared" si="53"/>
        <v>0.23591173099711815</v>
      </c>
      <c r="AJ53" s="294">
        <f t="shared" si="54"/>
        <v>-0.65</v>
      </c>
      <c r="AK53" s="294">
        <f t="shared" si="55"/>
        <v>1.35</v>
      </c>
      <c r="AL53" s="294">
        <f t="shared" si="56"/>
        <v>0.35</v>
      </c>
      <c r="AM53" s="313">
        <f t="shared" si="57"/>
        <v>0.35</v>
      </c>
      <c r="AP53" s="314">
        <f t="shared" si="58"/>
        <v>0.5569939450374688</v>
      </c>
      <c r="AQ53" s="294">
        <f t="shared" si="59"/>
        <v>1.0807100931628066</v>
      </c>
      <c r="AR53" s="315">
        <f t="shared" si="60"/>
        <v>0.78456635192312218</v>
      </c>
      <c r="AS53" s="315">
        <f t="shared" si="61"/>
        <v>0.93678777338436092</v>
      </c>
      <c r="AT53" s="316">
        <f t="shared" si="62"/>
        <v>0.72135412530748311</v>
      </c>
      <c r="AU53" s="316">
        <f t="shared" si="63"/>
        <v>0.21543364807687782</v>
      </c>
      <c r="AV53" s="316">
        <f t="shared" si="64"/>
        <v>6.3212226615639078E-2</v>
      </c>
      <c r="AW53" s="338">
        <f t="shared" si="65"/>
        <v>0.27864587469251689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0.3934043970686209</v>
      </c>
      <c r="AB54" s="294">
        <f t="shared" si="46"/>
        <v>0.71505830917961366</v>
      </c>
      <c r="AC54" s="294">
        <f t="shared" si="47"/>
        <v>1.1025581549670418</v>
      </c>
      <c r="AD54" s="315">
        <f t="shared" si="48"/>
        <v>0.84405044656134987</v>
      </c>
      <c r="AE54" s="315">
        <f t="shared" si="49"/>
        <v>0.94053170851175394</v>
      </c>
      <c r="AF54" s="316">
        <f t="shared" si="50"/>
        <v>0.7845821550731038</v>
      </c>
      <c r="AG54" s="316">
        <f t="shared" si="51"/>
        <v>0.15594955343865013</v>
      </c>
      <c r="AH54" s="316">
        <f t="shared" si="52"/>
        <v>5.9468291488246061E-2</v>
      </c>
      <c r="AI54" s="316">
        <f t="shared" si="53"/>
        <v>0.2154178449268962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0.39999999999999997</v>
      </c>
      <c r="AM54" s="313">
        <f t="shared" si="57"/>
        <v>0.39999999999999997</v>
      </c>
      <c r="AP54" s="314">
        <f t="shared" si="58"/>
        <v>0.6442799697250251</v>
      </c>
      <c r="AQ54" s="294">
        <f t="shared" si="59"/>
        <v>0.99342406847525033</v>
      </c>
      <c r="AR54" s="315">
        <f t="shared" si="60"/>
        <v>0.81889168836881632</v>
      </c>
      <c r="AS54" s="315">
        <f t="shared" si="61"/>
        <v>0.91997654240636728</v>
      </c>
      <c r="AT54" s="316">
        <f t="shared" si="62"/>
        <v>0.73886823077518349</v>
      </c>
      <c r="AU54" s="316">
        <f t="shared" si="63"/>
        <v>0.18110831163118368</v>
      </c>
      <c r="AV54" s="316">
        <f t="shared" si="64"/>
        <v>8.0023457593632719E-2</v>
      </c>
      <c r="AW54" s="338">
        <f t="shared" si="65"/>
        <v>0.26113176922481651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0.44670219853431042</v>
      </c>
      <c r="AB55" s="294">
        <f t="shared" si="46"/>
        <v>0.81193327062647069</v>
      </c>
      <c r="AC55" s="294">
        <f t="shared" si="47"/>
        <v>1.0056831935201849</v>
      </c>
      <c r="AD55" s="315">
        <f t="shared" si="48"/>
        <v>0.87456670302489548</v>
      </c>
      <c r="AE55" s="315">
        <f t="shared" si="49"/>
        <v>0.92252327361610598</v>
      </c>
      <c r="AF55" s="316">
        <f t="shared" si="50"/>
        <v>0.79708997664100156</v>
      </c>
      <c r="AG55" s="316">
        <f t="shared" si="51"/>
        <v>0.12543329697510452</v>
      </c>
      <c r="AH55" s="316">
        <f t="shared" si="52"/>
        <v>7.7476726383894023E-2</v>
      </c>
      <c r="AI55" s="316">
        <f t="shared" si="53"/>
        <v>0.20291002335899844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0.44999999999999996</v>
      </c>
      <c r="AM55" s="313">
        <f t="shared" si="57"/>
        <v>0.44999999999999996</v>
      </c>
      <c r="AP55" s="314">
        <f t="shared" si="58"/>
        <v>0.73156599441258141</v>
      </c>
      <c r="AQ55" s="294">
        <f t="shared" si="59"/>
        <v>0.90613804378769414</v>
      </c>
      <c r="AR55" s="315">
        <f t="shared" si="60"/>
        <v>0.84956991569794993</v>
      </c>
      <c r="AS55" s="315">
        <f t="shared" si="61"/>
        <v>0.89998616044333679</v>
      </c>
      <c r="AT55" s="316">
        <f t="shared" si="62"/>
        <v>0.74955607614128672</v>
      </c>
      <c r="AU55" s="316">
        <f t="shared" si="63"/>
        <v>0.15043008430205007</v>
      </c>
      <c r="AV55" s="316">
        <f t="shared" si="64"/>
        <v>0.10001383955666321</v>
      </c>
      <c r="AW55" s="338">
        <f t="shared" si="65"/>
        <v>0.25044392385871328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0.90880823207332773</v>
      </c>
      <c r="AC56" s="294">
        <f t="shared" si="47"/>
        <v>0.90880823207332784</v>
      </c>
      <c r="AD56" s="315">
        <f t="shared" si="48"/>
        <v>0.90064734447380679</v>
      </c>
      <c r="AE56" s="315">
        <f t="shared" si="49"/>
        <v>0.90064734447380679</v>
      </c>
      <c r="AF56" s="316">
        <f t="shared" si="50"/>
        <v>0.80129468894761358</v>
      </c>
      <c r="AG56" s="316">
        <f t="shared" si="51"/>
        <v>9.9352655526193212E-2</v>
      </c>
      <c r="AH56" s="316">
        <f t="shared" si="52"/>
        <v>9.9352655526193212E-2</v>
      </c>
      <c r="AI56" s="316">
        <f t="shared" si="53"/>
        <v>0.19870531105238642</v>
      </c>
      <c r="AJ56" s="294">
        <f t="shared" si="54"/>
        <v>-0.5</v>
      </c>
      <c r="AK56" s="294">
        <f t="shared" si="55"/>
        <v>1.5</v>
      </c>
      <c r="AL56" s="294">
        <f t="shared" si="56"/>
        <v>0.49999999999999994</v>
      </c>
      <c r="AM56" s="313">
        <f t="shared" si="57"/>
        <v>0.49999999999999994</v>
      </c>
      <c r="AP56" s="314">
        <f t="shared" si="58"/>
        <v>0.81885201910013772</v>
      </c>
      <c r="AQ56" s="294">
        <f t="shared" si="59"/>
        <v>0.81885201910013772</v>
      </c>
      <c r="AR56" s="315">
        <f t="shared" si="60"/>
        <v>0.87657443578214356</v>
      </c>
      <c r="AS56" s="315">
        <f t="shared" si="61"/>
        <v>0.87657443578214356</v>
      </c>
      <c r="AT56" s="316">
        <f t="shared" si="62"/>
        <v>0.75314887156428711</v>
      </c>
      <c r="AU56" s="316">
        <f t="shared" si="63"/>
        <v>0.12342556421785644</v>
      </c>
      <c r="AV56" s="316">
        <f t="shared" si="64"/>
        <v>0.12342556421785644</v>
      </c>
      <c r="AW56" s="338">
        <f t="shared" si="65"/>
        <v>0.24685112843571289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0.55329780146568941</v>
      </c>
      <c r="AB57" s="294">
        <f t="shared" si="46"/>
        <v>1.0056831935201846</v>
      </c>
      <c r="AC57" s="294">
        <f t="shared" si="47"/>
        <v>0.81193327062647103</v>
      </c>
      <c r="AD57" s="315">
        <f t="shared" si="48"/>
        <v>0.92252327361610598</v>
      </c>
      <c r="AE57" s="315">
        <f t="shared" si="49"/>
        <v>0.87456670302489559</v>
      </c>
      <c r="AF57" s="316">
        <f t="shared" si="50"/>
        <v>0.79708997664100156</v>
      </c>
      <c r="AG57" s="316">
        <f t="shared" si="51"/>
        <v>7.7476726383894023E-2</v>
      </c>
      <c r="AH57" s="316">
        <f t="shared" si="52"/>
        <v>0.12543329697510441</v>
      </c>
      <c r="AI57" s="316">
        <f t="shared" si="53"/>
        <v>0.20291002335899844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0.54999999999999993</v>
      </c>
      <c r="AM57" s="313">
        <f t="shared" si="57"/>
        <v>0.54999999999999993</v>
      </c>
      <c r="AP57" s="314">
        <f t="shared" si="58"/>
        <v>0.90613804378769391</v>
      </c>
      <c r="AQ57" s="294">
        <f t="shared" si="59"/>
        <v>0.73156599441258174</v>
      </c>
      <c r="AR57" s="315">
        <f t="shared" si="60"/>
        <v>0.89998616044333679</v>
      </c>
      <c r="AS57" s="315">
        <f t="shared" si="61"/>
        <v>0.84956991569795004</v>
      </c>
      <c r="AT57" s="316">
        <f t="shared" si="62"/>
        <v>0.74955607614128672</v>
      </c>
      <c r="AU57" s="316">
        <f t="shared" si="63"/>
        <v>0.10001383955666321</v>
      </c>
      <c r="AV57" s="316">
        <f t="shared" si="64"/>
        <v>0.15043008430204996</v>
      </c>
      <c r="AW57" s="338">
        <f t="shared" si="65"/>
        <v>0.25044392385871328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0.60659560293137904</v>
      </c>
      <c r="AB58" s="294">
        <f t="shared" si="46"/>
        <v>1.1025581549670418</v>
      </c>
      <c r="AC58" s="294">
        <f t="shared" si="47"/>
        <v>0.71505830917961377</v>
      </c>
      <c r="AD58" s="315">
        <f t="shared" si="48"/>
        <v>0.94053170851175394</v>
      </c>
      <c r="AE58" s="315">
        <f t="shared" si="49"/>
        <v>0.84405044656134987</v>
      </c>
      <c r="AF58" s="316">
        <f t="shared" si="50"/>
        <v>0.7845821550731038</v>
      </c>
      <c r="AG58" s="316">
        <f t="shared" si="51"/>
        <v>5.9468291488246061E-2</v>
      </c>
      <c r="AH58" s="316">
        <f t="shared" si="52"/>
        <v>0.15594955343865013</v>
      </c>
      <c r="AI58" s="316">
        <f t="shared" si="53"/>
        <v>0.2154178449268962</v>
      </c>
      <c r="AJ58" s="294">
        <f t="shared" si="54"/>
        <v>-0.4</v>
      </c>
      <c r="AK58" s="294">
        <f t="shared" si="55"/>
        <v>1.6</v>
      </c>
      <c r="AL58" s="294">
        <f t="shared" si="56"/>
        <v>0.6</v>
      </c>
      <c r="AM58" s="313">
        <f t="shared" si="57"/>
        <v>0.6</v>
      </c>
      <c r="AP58" s="314">
        <f t="shared" si="58"/>
        <v>0.99342406847525033</v>
      </c>
      <c r="AQ58" s="294">
        <f t="shared" si="59"/>
        <v>0.64427996972502521</v>
      </c>
      <c r="AR58" s="315">
        <f t="shared" si="60"/>
        <v>0.91997654240636728</v>
      </c>
      <c r="AS58" s="315">
        <f t="shared" si="61"/>
        <v>0.81889168836881632</v>
      </c>
      <c r="AT58" s="316">
        <f t="shared" si="62"/>
        <v>0.73886823077518349</v>
      </c>
      <c r="AU58" s="316">
        <f t="shared" si="63"/>
        <v>8.0023457593632719E-2</v>
      </c>
      <c r="AV58" s="316">
        <f t="shared" si="64"/>
        <v>0.18110831163118368</v>
      </c>
      <c r="AW58" s="338">
        <f t="shared" si="65"/>
        <v>0.26113176922481651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0.65989340439706856</v>
      </c>
      <c r="AB59" s="294">
        <f t="shared" si="46"/>
        <v>1.1994331164138989</v>
      </c>
      <c r="AC59" s="294">
        <f t="shared" si="47"/>
        <v>0.61818334773275674</v>
      </c>
      <c r="AD59" s="315">
        <f t="shared" si="48"/>
        <v>0.95508116099069484</v>
      </c>
      <c r="AE59" s="315">
        <f t="shared" si="49"/>
        <v>0.80900710801218689</v>
      </c>
      <c r="AF59" s="316">
        <f t="shared" si="50"/>
        <v>0.76408826900288185</v>
      </c>
      <c r="AG59" s="316">
        <f t="shared" si="51"/>
        <v>4.4918839009305156E-2</v>
      </c>
      <c r="AH59" s="316">
        <f t="shared" si="52"/>
        <v>0.19099289198781311</v>
      </c>
      <c r="AI59" s="316">
        <f t="shared" si="53"/>
        <v>0.23591173099711815</v>
      </c>
      <c r="AJ59" s="294">
        <f t="shared" si="54"/>
        <v>-0.35</v>
      </c>
      <c r="AK59" s="294">
        <f t="shared" si="55"/>
        <v>1.65</v>
      </c>
      <c r="AL59" s="294">
        <f t="shared" si="56"/>
        <v>0.65</v>
      </c>
      <c r="AM59" s="313">
        <f t="shared" si="57"/>
        <v>0.65</v>
      </c>
      <c r="AP59" s="314">
        <f t="shared" si="58"/>
        <v>1.0807100931628066</v>
      </c>
      <c r="AQ59" s="294">
        <f t="shared" si="59"/>
        <v>0.55699394503746891</v>
      </c>
      <c r="AR59" s="315">
        <f t="shared" si="60"/>
        <v>0.93678777338436092</v>
      </c>
      <c r="AS59" s="315">
        <f t="shared" si="61"/>
        <v>0.7845663519231223</v>
      </c>
      <c r="AT59" s="316">
        <f t="shared" si="62"/>
        <v>0.72135412530748333</v>
      </c>
      <c r="AU59" s="316">
        <f t="shared" si="63"/>
        <v>6.3212226615639078E-2</v>
      </c>
      <c r="AV59" s="316">
        <f t="shared" si="64"/>
        <v>0.2154336480768777</v>
      </c>
      <c r="AW59" s="338">
        <f t="shared" si="65"/>
        <v>0.27864587469251667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0.71319120586275819</v>
      </c>
      <c r="AB60" s="294">
        <f t="shared" si="46"/>
        <v>1.2963080778607561</v>
      </c>
      <c r="AC60" s="294">
        <f t="shared" si="47"/>
        <v>0.52130838628589948</v>
      </c>
      <c r="AD60" s="315">
        <f t="shared" si="48"/>
        <v>0.96661777981690655</v>
      </c>
      <c r="AE60" s="315">
        <f t="shared" si="49"/>
        <v>0.76951221637900979</v>
      </c>
      <c r="AF60" s="316">
        <f t="shared" si="50"/>
        <v>0.73612999619591646</v>
      </c>
      <c r="AG60" s="316">
        <f t="shared" si="51"/>
        <v>3.3382220183093447E-2</v>
      </c>
      <c r="AH60" s="316">
        <f t="shared" si="52"/>
        <v>0.23048778362099021</v>
      </c>
      <c r="AI60" s="316">
        <f t="shared" si="53"/>
        <v>0.26387000380408354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0.70000000000000007</v>
      </c>
      <c r="AM60" s="313">
        <f t="shared" si="57"/>
        <v>0.70000000000000007</v>
      </c>
      <c r="AP60" s="314">
        <f t="shared" si="58"/>
        <v>1.1679961178503631</v>
      </c>
      <c r="AQ60" s="294">
        <f t="shared" si="59"/>
        <v>0.46970792034991243</v>
      </c>
      <c r="AR60" s="315">
        <f t="shared" si="60"/>
        <v>0.95071192276988703</v>
      </c>
      <c r="AS60" s="315">
        <f t="shared" si="61"/>
        <v>0.74674038056936953</v>
      </c>
      <c r="AT60" s="316">
        <f t="shared" si="62"/>
        <v>0.69745230333925656</v>
      </c>
      <c r="AU60" s="316">
        <f t="shared" si="63"/>
        <v>4.928807723011297E-2</v>
      </c>
      <c r="AV60" s="316">
        <f t="shared" si="64"/>
        <v>0.25325961943063047</v>
      </c>
      <c r="AW60" s="338">
        <f t="shared" si="65"/>
        <v>0.30254769666074344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0.76648900732844782</v>
      </c>
      <c r="AB61" s="294">
        <f t="shared" si="46"/>
        <v>1.3931830393076134</v>
      </c>
      <c r="AC61" s="294">
        <f t="shared" si="47"/>
        <v>0.42443342483904223</v>
      </c>
      <c r="AD61" s="315">
        <f t="shared" si="48"/>
        <v>0.9755956153327543</v>
      </c>
      <c r="AE61" s="315">
        <f t="shared" si="49"/>
        <v>0.72582668571739084</v>
      </c>
      <c r="AF61" s="316">
        <f t="shared" si="50"/>
        <v>0.70142230105014525</v>
      </c>
      <c r="AG61" s="316">
        <f t="shared" si="51"/>
        <v>2.4404384667245704E-2</v>
      </c>
      <c r="AH61" s="316">
        <f t="shared" si="52"/>
        <v>0.27417331428260916</v>
      </c>
      <c r="AI61" s="316">
        <f t="shared" si="53"/>
        <v>0.29857769894985475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0.75000000000000011</v>
      </c>
      <c r="AM61" s="313">
        <f t="shared" si="57"/>
        <v>0.75000000000000011</v>
      </c>
      <c r="AP61" s="314">
        <f t="shared" si="58"/>
        <v>1.2552821425379197</v>
      </c>
      <c r="AQ61" s="294">
        <f t="shared" si="59"/>
        <v>0.3824218956623559</v>
      </c>
      <c r="AR61" s="315">
        <f t="shared" si="60"/>
        <v>0.96207062112290986</v>
      </c>
      <c r="AS61" s="315">
        <f t="shared" si="61"/>
        <v>0.70568631966332362</v>
      </c>
      <c r="AT61" s="316">
        <f t="shared" si="62"/>
        <v>0.6677569407862336</v>
      </c>
      <c r="AU61" s="316">
        <f t="shared" si="63"/>
        <v>3.7929378877090136E-2</v>
      </c>
      <c r="AV61" s="316">
        <f t="shared" si="64"/>
        <v>0.29431368033667638</v>
      </c>
      <c r="AW61" s="338">
        <f t="shared" si="65"/>
        <v>0.3322430592137664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0.81978680879413734</v>
      </c>
      <c r="AB62" s="294">
        <f t="shared" si="46"/>
        <v>1.4900580007544704</v>
      </c>
      <c r="AC62" s="294">
        <f t="shared" si="47"/>
        <v>0.32755846339218525</v>
      </c>
      <c r="AD62" s="315">
        <f t="shared" si="48"/>
        <v>0.98245248582076006</v>
      </c>
      <c r="AE62" s="315">
        <f t="shared" si="49"/>
        <v>0.67840297378747261</v>
      </c>
      <c r="AF62" s="316">
        <f t="shared" si="50"/>
        <v>0.66085545960823255</v>
      </c>
      <c r="AG62" s="316">
        <f t="shared" si="51"/>
        <v>1.7547514179239943E-2</v>
      </c>
      <c r="AH62" s="316">
        <f t="shared" si="52"/>
        <v>0.32159702621252739</v>
      </c>
      <c r="AI62" s="316">
        <f t="shared" si="53"/>
        <v>0.33914454039176745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0.80000000000000016</v>
      </c>
      <c r="AM62" s="313">
        <f t="shared" si="57"/>
        <v>0.80000000000000016</v>
      </c>
      <c r="AP62" s="314">
        <f t="shared" si="58"/>
        <v>1.3425681672254759</v>
      </c>
      <c r="AQ62" s="294">
        <f t="shared" si="59"/>
        <v>0.29513587097479965</v>
      </c>
      <c r="AR62" s="315">
        <f t="shared" si="60"/>
        <v>0.97119659433780425</v>
      </c>
      <c r="AS62" s="315">
        <f t="shared" si="61"/>
        <v>0.66180164302201139</v>
      </c>
      <c r="AT62" s="316">
        <f t="shared" si="62"/>
        <v>0.63299823735981553</v>
      </c>
      <c r="AU62" s="316">
        <f t="shared" si="63"/>
        <v>2.8803405662195747E-2</v>
      </c>
      <c r="AV62" s="316">
        <f t="shared" si="64"/>
        <v>0.33819835697798861</v>
      </c>
      <c r="AW62" s="338">
        <f t="shared" si="65"/>
        <v>0.36700176264018447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0.87308461025982687</v>
      </c>
      <c r="AB63" s="294">
        <f t="shared" si="46"/>
        <v>1.5869329622013273</v>
      </c>
      <c r="AC63" s="294">
        <f t="shared" si="47"/>
        <v>0.23068350194532822</v>
      </c>
      <c r="AD63" s="315">
        <f t="shared" si="48"/>
        <v>0.98759222929718948</v>
      </c>
      <c r="AE63" s="315">
        <f t="shared" si="49"/>
        <v>0.6278769975570232</v>
      </c>
      <c r="AF63" s="316">
        <f t="shared" si="50"/>
        <v>0.61546922685421279</v>
      </c>
      <c r="AG63" s="316">
        <f t="shared" si="51"/>
        <v>1.2407770702810517E-2</v>
      </c>
      <c r="AH63" s="316">
        <f t="shared" si="52"/>
        <v>0.3721230024429768</v>
      </c>
      <c r="AI63" s="316">
        <f t="shared" si="53"/>
        <v>0.38453077314578721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0.8500000000000002</v>
      </c>
      <c r="AM63" s="313">
        <f t="shared" si="57"/>
        <v>0.8500000000000002</v>
      </c>
      <c r="AP63" s="314">
        <f t="shared" si="58"/>
        <v>1.4298541919130323</v>
      </c>
      <c r="AQ63" s="294">
        <f t="shared" si="59"/>
        <v>0.20784984628724337</v>
      </c>
      <c r="AR63" s="315">
        <f t="shared" si="60"/>
        <v>0.97841798003365277</v>
      </c>
      <c r="AS63" s="315">
        <f t="shared" si="61"/>
        <v>0.61559967966693341</v>
      </c>
      <c r="AT63" s="316">
        <f t="shared" si="62"/>
        <v>0.59401765970058618</v>
      </c>
      <c r="AU63" s="316">
        <f t="shared" si="63"/>
        <v>2.1582019966347232E-2</v>
      </c>
      <c r="AV63" s="316">
        <f t="shared" si="64"/>
        <v>0.38440032033306659</v>
      </c>
      <c r="AW63" s="338">
        <f t="shared" si="65"/>
        <v>0.40598234029941382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0.9263824117255165</v>
      </c>
      <c r="AB64" s="294">
        <f t="shared" si="46"/>
        <v>1.6838079236481844</v>
      </c>
      <c r="AC64" s="294">
        <f t="shared" si="47"/>
        <v>0.13380854049847099</v>
      </c>
      <c r="AD64" s="315">
        <f t="shared" si="48"/>
        <v>0.99137332900252884</v>
      </c>
      <c r="AE64" s="315">
        <f t="shared" si="49"/>
        <v>0.57504523184121781</v>
      </c>
      <c r="AF64" s="316">
        <f t="shared" si="50"/>
        <v>0.56641856084374664</v>
      </c>
      <c r="AG64" s="316">
        <f t="shared" si="51"/>
        <v>8.6266709974711642E-3</v>
      </c>
      <c r="AH64" s="316">
        <f t="shared" si="52"/>
        <v>0.42495476815878219</v>
      </c>
      <c r="AI64" s="316">
        <f t="shared" si="53"/>
        <v>0.43358143915625336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0.90000000000000024</v>
      </c>
      <c r="AM64" s="313">
        <f t="shared" si="57"/>
        <v>0.90000000000000024</v>
      </c>
      <c r="AP64" s="314">
        <f t="shared" si="58"/>
        <v>1.5171402166005885</v>
      </c>
      <c r="AQ64" s="294">
        <f t="shared" si="59"/>
        <v>0.12056382159968689</v>
      </c>
      <c r="AR64" s="315">
        <f t="shared" si="60"/>
        <v>0.98404596097709218</v>
      </c>
      <c r="AS64" s="315">
        <f t="shared" si="61"/>
        <v>0.56769270908693148</v>
      </c>
      <c r="AT64" s="316">
        <f t="shared" si="62"/>
        <v>0.55173867006402366</v>
      </c>
      <c r="AU64" s="316">
        <f t="shared" si="63"/>
        <v>1.5954039022907818E-2</v>
      </c>
      <c r="AV64" s="316">
        <f t="shared" si="64"/>
        <v>0.43230729091306852</v>
      </c>
      <c r="AW64" s="338">
        <f t="shared" si="65"/>
        <v>0.44826132993597634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0.97968021319120613</v>
      </c>
      <c r="AB65" s="294">
        <f t="shared" si="46"/>
        <v>1.7806828850950418</v>
      </c>
      <c r="AC65" s="294">
        <f t="shared" si="47"/>
        <v>3.693357905161377E-2</v>
      </c>
      <c r="AD65" s="315">
        <f t="shared" si="48"/>
        <v>0.99410328719514207</v>
      </c>
      <c r="AE65" s="315">
        <f t="shared" si="49"/>
        <v>0.52082806970500661</v>
      </c>
      <c r="AF65" s="316">
        <f t="shared" si="50"/>
        <v>0.5149313569001488</v>
      </c>
      <c r="AG65" s="316">
        <f t="shared" si="51"/>
        <v>5.8967128048579287E-3</v>
      </c>
      <c r="AH65" s="316">
        <f t="shared" si="52"/>
        <v>0.47917193029499339</v>
      </c>
      <c r="AI65" s="316">
        <f t="shared" si="53"/>
        <v>0.4850686430998512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0.95000000000000029</v>
      </c>
      <c r="AM65" s="313">
        <f t="shared" si="57"/>
        <v>0.95000000000000029</v>
      </c>
      <c r="AP65" s="314">
        <f t="shared" si="58"/>
        <v>1.6044262412881451</v>
      </c>
      <c r="AQ65" s="294">
        <f t="shared" si="59"/>
        <v>3.3277796912130411E-2</v>
      </c>
      <c r="AR65" s="315">
        <f t="shared" si="60"/>
        <v>0.98836587812111187</v>
      </c>
      <c r="AS65" s="315">
        <f t="shared" si="61"/>
        <v>0.51876805813617555</v>
      </c>
      <c r="AT65" s="316">
        <f t="shared" si="62"/>
        <v>0.50713393625728731</v>
      </c>
      <c r="AU65" s="316">
        <f t="shared" si="63"/>
        <v>1.1634121878888126E-2</v>
      </c>
      <c r="AV65" s="316">
        <f t="shared" si="64"/>
        <v>0.48123194186382445</v>
      </c>
      <c r="AW65" s="338">
        <f t="shared" si="65"/>
        <v>0.49286606374271269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1.0329780146568956</v>
      </c>
      <c r="AB66" s="294">
        <f t="shared" si="46"/>
        <v>1.8775578465418987</v>
      </c>
      <c r="AC66" s="294">
        <f t="shared" si="47"/>
        <v>-5.9941382395243249E-2</v>
      </c>
      <c r="AD66" s="315">
        <f t="shared" si="48"/>
        <v>0.99603772618011566</v>
      </c>
      <c r="AE66" s="315">
        <f t="shared" si="49"/>
        <v>0.4662221555180755</v>
      </c>
      <c r="AF66" s="316">
        <f t="shared" si="50"/>
        <v>0.4622598816981911</v>
      </c>
      <c r="AG66" s="316">
        <f t="shared" si="51"/>
        <v>3.9622738198843432E-3</v>
      </c>
      <c r="AH66" s="316">
        <f t="shared" si="52"/>
        <v>0.53377784448192456</v>
      </c>
      <c r="AI66" s="316">
        <f t="shared" si="53"/>
        <v>0.5377401183018089</v>
      </c>
      <c r="AJ66" s="294">
        <f t="shared" si="54"/>
        <v>0</v>
      </c>
      <c r="AK66" s="294">
        <f t="shared" si="55"/>
        <v>2</v>
      </c>
      <c r="AL66" s="294">
        <f t="shared" si="56"/>
        <v>1.0000000000000002</v>
      </c>
      <c r="AM66" s="313">
        <f t="shared" si="57"/>
        <v>1.0000000000000002</v>
      </c>
      <c r="AP66" s="314">
        <f t="shared" si="58"/>
        <v>1.6917122659757013</v>
      </c>
      <c r="AQ66" s="294">
        <f t="shared" si="59"/>
        <v>-5.4008227775425875E-2</v>
      </c>
      <c r="AR66" s="315">
        <f t="shared" si="60"/>
        <v>0.99163167323340595</v>
      </c>
      <c r="AS66" s="315">
        <f t="shared" si="61"/>
        <v>0.46955872127694015</v>
      </c>
      <c r="AT66" s="316">
        <f t="shared" si="62"/>
        <v>0.46119039451034616</v>
      </c>
      <c r="AU66" s="316">
        <f t="shared" si="63"/>
        <v>8.3683267665940475E-3</v>
      </c>
      <c r="AV66" s="316">
        <f t="shared" si="64"/>
        <v>0.53044127872305991</v>
      </c>
      <c r="AW66" s="338">
        <f t="shared" si="65"/>
        <v>0.53880960548965384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1.0862758161225852</v>
      </c>
      <c r="AB67" s="294">
        <f t="shared" si="46"/>
        <v>1.9744328079887559</v>
      </c>
      <c r="AC67" s="294">
        <f t="shared" si="47"/>
        <v>-0.15681634384210028</v>
      </c>
      <c r="AD67" s="315">
        <f t="shared" si="48"/>
        <v>0.99738301409518948</v>
      </c>
      <c r="AE67" s="315">
        <f t="shared" si="49"/>
        <v>0.41224576648183503</v>
      </c>
      <c r="AF67" s="316">
        <f t="shared" si="50"/>
        <v>0.40962878057702445</v>
      </c>
      <c r="AG67" s="316">
        <f t="shared" si="51"/>
        <v>2.6169859048105204E-3</v>
      </c>
      <c r="AH67" s="316">
        <f t="shared" si="52"/>
        <v>0.58775423351816491</v>
      </c>
      <c r="AI67" s="316">
        <f t="shared" si="53"/>
        <v>0.59037121942297555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1.0500000000000003</v>
      </c>
      <c r="AM67" s="313">
        <f t="shared" si="57"/>
        <v>1.0500000000000003</v>
      </c>
      <c r="AP67" s="314">
        <f t="shared" si="58"/>
        <v>1.7789982906632578</v>
      </c>
      <c r="AQ67" s="294">
        <f t="shared" si="59"/>
        <v>-0.14129425246298216</v>
      </c>
      <c r="AR67" s="315">
        <f t="shared" si="60"/>
        <v>0.99406327901562452</v>
      </c>
      <c r="AS67" s="315">
        <f t="shared" si="61"/>
        <v>0.42081058248400349</v>
      </c>
      <c r="AT67" s="316">
        <f t="shared" si="62"/>
        <v>0.41487386149962813</v>
      </c>
      <c r="AU67" s="316">
        <f t="shared" si="63"/>
        <v>5.9367209843754765E-3</v>
      </c>
      <c r="AV67" s="316">
        <f t="shared" si="64"/>
        <v>0.57918941751599651</v>
      </c>
      <c r="AW67" s="338">
        <f t="shared" si="65"/>
        <v>0.58512613850037187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1.1395736175882747</v>
      </c>
      <c r="AB68" s="294">
        <f t="shared" si="46"/>
        <v>2.0713077694356126</v>
      </c>
      <c r="AC68" s="294">
        <f t="shared" si="47"/>
        <v>-0.25369130528895734</v>
      </c>
      <c r="AD68" s="315">
        <f t="shared" si="48"/>
        <v>0.99830121264442029</v>
      </c>
      <c r="AE68" s="315">
        <f t="shared" si="49"/>
        <v>0.35988220023205908</v>
      </c>
      <c r="AF68" s="316">
        <f t="shared" si="50"/>
        <v>0.35818341287647937</v>
      </c>
      <c r="AG68" s="316">
        <f t="shared" si="51"/>
        <v>1.6987873555797117E-3</v>
      </c>
      <c r="AH68" s="316">
        <f t="shared" si="52"/>
        <v>0.64011779976794092</v>
      </c>
      <c r="AI68" s="316">
        <f t="shared" si="53"/>
        <v>0.64181658712352063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1.1000000000000003</v>
      </c>
      <c r="AM68" s="313">
        <f t="shared" si="57"/>
        <v>1.1000000000000003</v>
      </c>
      <c r="AP68" s="314">
        <f t="shared" si="58"/>
        <v>1.866284315350814</v>
      </c>
      <c r="AQ68" s="294">
        <f t="shared" si="59"/>
        <v>-0.22858027715053847</v>
      </c>
      <c r="AR68" s="315">
        <f t="shared" si="60"/>
        <v>0.99584642997487838</v>
      </c>
      <c r="AS68" s="315">
        <f t="shared" si="61"/>
        <v>0.37324866939481077</v>
      </c>
      <c r="AT68" s="316">
        <f t="shared" si="62"/>
        <v>0.36909509936968909</v>
      </c>
      <c r="AU68" s="316">
        <f t="shared" si="63"/>
        <v>4.1535700251216223E-3</v>
      </c>
      <c r="AV68" s="316">
        <f t="shared" si="64"/>
        <v>0.62675133060518928</v>
      </c>
      <c r="AW68" s="338">
        <f t="shared" si="65"/>
        <v>0.63090490063031091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1.1928714190539642</v>
      </c>
      <c r="AB69" s="319">
        <f t="shared" si="46"/>
        <v>2.1681827308824699</v>
      </c>
      <c r="AC69" s="319">
        <f t="shared" si="47"/>
        <v>-0.35056626673581431</v>
      </c>
      <c r="AD69" s="320">
        <f t="shared" si="48"/>
        <v>0.99891627494881874</v>
      </c>
      <c r="AE69" s="320">
        <f t="shared" si="49"/>
        <v>0.31002638183094261</v>
      </c>
      <c r="AF69" s="321">
        <f t="shared" si="50"/>
        <v>0.30894265677976129</v>
      </c>
      <c r="AG69" s="321">
        <f t="shared" si="51"/>
        <v>1.0837250511812613E-3</v>
      </c>
      <c r="AH69" s="321">
        <f t="shared" si="52"/>
        <v>0.68997361816905745</v>
      </c>
      <c r="AI69" s="321">
        <f t="shared" si="53"/>
        <v>0.69105734322023871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1.1500000000000004</v>
      </c>
      <c r="AM69" s="322">
        <f t="shared" si="57"/>
        <v>1.1500000000000004</v>
      </c>
      <c r="AP69" s="339">
        <f t="shared" si="58"/>
        <v>1.9535703400383704</v>
      </c>
      <c r="AQ69" s="319">
        <f t="shared" si="59"/>
        <v>-0.31586630183809478</v>
      </c>
      <c r="AR69" s="320">
        <f t="shared" si="60"/>
        <v>0.99713430512388013</v>
      </c>
      <c r="AS69" s="320">
        <f t="shared" si="61"/>
        <v>0.32754497150286971</v>
      </c>
      <c r="AT69" s="321">
        <f t="shared" si="62"/>
        <v>0.32467927662674989</v>
      </c>
      <c r="AU69" s="321">
        <f t="shared" si="63"/>
        <v>2.8656948761198731E-3</v>
      </c>
      <c r="AV69" s="321">
        <f t="shared" si="64"/>
        <v>0.67245502849713024</v>
      </c>
      <c r="AW69" s="340">
        <f t="shared" si="65"/>
        <v>0.67532072337325011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425781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9.28515625" style="14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0" t="str">
        <f>Notes!A1</f>
        <v>10GEPBud3_1_16a.xls</v>
      </c>
      <c r="S1" s="481"/>
      <c r="T1" s="481"/>
      <c r="U1" s="481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1.1696405614389103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2" t="s">
        <v>268</v>
      </c>
      <c r="K2" s="482"/>
      <c r="L2" s="483" t="s">
        <v>390</v>
      </c>
      <c r="M2" s="484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1.1696405614389103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2.5999999999999999E-2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0.91729450270910373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0.80379436135957549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1.6E-2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0.026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0.80379436135957549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7.5323786864012372E-4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1.5+0.84</f>
        <v>2.34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405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69.160042686306895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7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1.4237462538659791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0.69139916527057332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3.406210965828063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0.91553486901184133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160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0.76053357201129956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160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2.347762703826942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80000</v>
      </c>
      <c r="H17" s="46">
        <f t="shared" ref="H17:H38" si="6">SQRT((1000*C_1/F17)^2+(1000*C_1/G17)^2+$G$3^2)</f>
        <v>53.468000335970551</v>
      </c>
      <c r="I17" s="46">
        <f t="shared" ref="I17:I38" si="7">SQRT(H17^2+$T$7^2)</f>
        <v>66.701909887264137</v>
      </c>
      <c r="J17" s="424">
        <f t="shared" ref="J17:J38" si="8">-10*LOG10(2*Z17 - 1)</f>
        <v>0.82316551979226982</v>
      </c>
      <c r="K17" s="251">
        <f t="shared" ref="K17:K38" si="9">-10*LOG10(AB17)-J17</f>
        <v>0.23515755778285263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4.8617041862806687E-2</v>
      </c>
      <c r="T17" s="209">
        <f>J17+L17+B17+Q17+S17+Pmn</f>
        <v>1.029545265637223</v>
      </c>
      <c r="U17" s="277">
        <f>J17+K17+B17+Q17+S17+Pmn+M17</f>
        <v>1.2647028234200757</v>
      </c>
      <c r="V17" s="178">
        <f t="shared" ref="V17:V38" si="15">T17-B17</f>
        <v>1.0217825618102812</v>
      </c>
      <c r="W17" s="179">
        <f t="shared" ref="W17:W38" si="16">$L$8-T17</f>
        <v>3.9304547343627769</v>
      </c>
      <c r="X17" s="455">
        <f t="shared" ref="X17:X38" si="17">$C$8-C17-(Q17+N17+R17+S17/2+Pmn) -$W$3</f>
        <v>-7.239365727622654</v>
      </c>
      <c r="Y17" s="47">
        <f t="shared" ref="Y17:Y38" si="18">B_1*Tb_eff/(SQRT(8)*I17)</f>
        <v>1.2127447518889762</v>
      </c>
      <c r="Z17" s="49">
        <f t="shared" ref="Z17:Z38" si="19">IF(ABS(Y17)&lt;10,SIGN(Y17)*ERF(ABS(Y17)),SIGN(Y17))</f>
        <v>0.91366945329673455</v>
      </c>
      <c r="AA17" s="395">
        <f>$AD17</f>
        <v>0.82733890659346909</v>
      </c>
      <c r="AB17" s="43">
        <f t="shared" ref="AB17:AB38" si="20">ERF(AE17)+ERF(AF17)-1</f>
        <v>0.78373220346180061</v>
      </c>
      <c r="AC17" s="47">
        <f t="shared" ref="AC17:AC38" si="21">ERF(AG17)+ERF(AH17)-1</f>
        <v>0.78373220346180061</v>
      </c>
      <c r="AD17" s="47">
        <f t="shared" ref="AD17:AD38" si="22">ERF(AI17)+ERF(AJ17)-1</f>
        <v>0.82733890659346909</v>
      </c>
      <c r="AE17" s="50">
        <f t="shared" ref="AE17:AE38" si="23">MAX(MIN(B_1*Tb_eff*($L$13+1)/(SQRT(8)*$I17),10),-10)</f>
        <v>1.4762148768792829</v>
      </c>
      <c r="AF17" s="50">
        <f t="shared" ref="AF17:AF38" si="24">MAX(MIN(B_1*Tb_eff*(1-$L$13)/(SQRT(8)*$I17),10),-10)</f>
        <v>0.94927462689866959</v>
      </c>
      <c r="AG17" s="50">
        <f t="shared" ref="AG17:AG38" si="25">MAX(MIN(B_1*Tb_eff*($L$13+$G$9+1)/(SQRT(8)*$I17),10),-10)</f>
        <v>1.4762148768792829</v>
      </c>
      <c r="AH17" s="50">
        <f t="shared" ref="AH17:AH38" si="26">MAX(MIN(B_1*Tb_eff*(1-$L$13-$G$9)/(SQRT(8)*$I17),10),-10)</f>
        <v>0.94927462689866959</v>
      </c>
      <c r="AI17" s="50">
        <f t="shared" ref="AI17:AI38" si="27">MAX(MIN(B_1*Tb_eff*($G$9+1)/(SQRT(8)*$I17),10),-10)</f>
        <v>1.2127447518889762</v>
      </c>
      <c r="AJ17" s="50">
        <f t="shared" ref="AJ17:AJ38" si="28">MAX(MIN(B_1*Tb_eff*(1-$G$9)/(SQRT(8)*$I17),10),-10)</f>
        <v>1.2127447518889762</v>
      </c>
      <c r="AK17" s="305"/>
      <c r="AL17" s="48">
        <f t="shared" ref="AL17:AL38" si="29">$L$6-$L$7</f>
        <v>4.96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1.6E-2</v>
      </c>
      <c r="B18" s="52">
        <f t="shared" si="0"/>
        <v>6.2101630615535454E-2</v>
      </c>
      <c r="C18" s="52">
        <f t="shared" si="1"/>
        <v>2.4021016306155354</v>
      </c>
      <c r="D18" s="180">
        <f t="shared" si="2"/>
        <v>-1.8664119140625002</v>
      </c>
      <c r="E18" s="52">
        <f t="shared" si="3"/>
        <v>3.0206399999999995E-4</v>
      </c>
      <c r="F18" s="53">
        <f t="shared" si="4"/>
        <v>345490.49591009191</v>
      </c>
      <c r="G18" s="53">
        <f t="shared" si="5"/>
        <v>10000</v>
      </c>
      <c r="H18" s="54">
        <f t="shared" si="6"/>
        <v>71.615132027736905</v>
      </c>
      <c r="I18" s="54">
        <f t="shared" si="7"/>
        <v>81.969780151172458</v>
      </c>
      <c r="J18" s="425">
        <f t="shared" si="8"/>
        <v>1.711175939026697</v>
      </c>
      <c r="K18" s="252">
        <f t="shared" si="9"/>
        <v>0.25424246604344014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-1.903842789476741E-2</v>
      </c>
      <c r="P18" s="52">
        <f t="shared" si="13"/>
        <v>7.6875812471376782E-5</v>
      </c>
      <c r="Q18" s="52">
        <f t="shared" si="14"/>
        <v>6.3549028915048358E-7</v>
      </c>
      <c r="R18" s="268">
        <f t="shared" ref="R18:R23" si="31">10*LOG10(1/SQRT(1-AK18*(Q/AA18)^2))</f>
        <v>0.13074795488063096</v>
      </c>
      <c r="S18" s="52">
        <f t="shared" ref="S18:S23" si="32">-10*LOG10(AA18*SQRT(1-Q*Q*((SD_blw^2+AK18)/AA18^2+Vmn+(P18*P18))))-$T$13-J18-L18-Q18-N18-R18-Pmn</f>
        <v>0.11362485319549112</v>
      </c>
      <c r="T18" s="282">
        <f t="shared" ref="T18:T38" si="33">J18+L18+B18+Q18+N18+R18+S18+Pmn</f>
        <v>2.1676510132086437</v>
      </c>
      <c r="U18" s="278">
        <f t="shared" ref="U18:U38" si="34">J18+K18+B18+Q18+N18+R18+S18+Pmn+M18</f>
        <v>2.4218934792520841</v>
      </c>
      <c r="V18" s="181">
        <f t="shared" si="15"/>
        <v>2.1055493825931082</v>
      </c>
      <c r="W18" s="182">
        <f t="shared" si="16"/>
        <v>2.7923489867913562</v>
      </c>
      <c r="X18" s="456">
        <f t="shared" si="17"/>
        <v>-7.456957150293305</v>
      </c>
      <c r="Y18" s="59">
        <f t="shared" si="18"/>
        <v>0.98685626590147624</v>
      </c>
      <c r="Z18" s="60">
        <f t="shared" si="19"/>
        <v>0.8371727052453265</v>
      </c>
      <c r="AA18" s="300">
        <f t="shared" ref="AA18:AA38" si="35">$AD18*(1-2*$L$10*10^(-$C18/10)*$AB$5*SQRT(2*ER*($AD18*(ER-1)+ER+1))/($AD18*(ER-1)))</f>
        <v>0.674345410490653</v>
      </c>
      <c r="AB18" s="56">
        <f t="shared" si="20"/>
        <v>0.63600152865388249</v>
      </c>
      <c r="AC18" s="55">
        <f t="shared" si="21"/>
        <v>0.63600152865388249</v>
      </c>
      <c r="AD18" s="55">
        <f t="shared" si="22"/>
        <v>0.674345410490653</v>
      </c>
      <c r="AE18" s="61">
        <f t="shared" si="23"/>
        <v>1.2012518700214208</v>
      </c>
      <c r="AF18" s="61">
        <f t="shared" si="24"/>
        <v>0.77246066178153172</v>
      </c>
      <c r="AG18" s="61">
        <f t="shared" si="25"/>
        <v>1.2012518700214208</v>
      </c>
      <c r="AH18" s="61">
        <f t="shared" si="26"/>
        <v>0.77246066178153172</v>
      </c>
      <c r="AI18" s="61">
        <f t="shared" si="27"/>
        <v>0.98685626590147624</v>
      </c>
      <c r="AJ18" s="61">
        <f t="shared" si="28"/>
        <v>0.98685626590147624</v>
      </c>
      <c r="AK18" s="306">
        <f t="shared" ref="AK18:AK23" si="36">kRIN*10^6*$AK$7*$AK$7/(SQRT((1/F18)^2+(1/G18)^2+0.477*(1/$T$5)^2))*10^($G$4/10)</f>
        <v>5.3661289673583371E-4</v>
      </c>
      <c r="AL18" s="57">
        <f t="shared" si="29"/>
        <v>4.96</v>
      </c>
      <c r="AM18" s="190">
        <f t="shared" ref="AM18:AM38" si="37">$L$3</f>
        <v>2.5999999999999999E-2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1.7000000000000001E-2</v>
      </c>
      <c r="B19" s="64">
        <f t="shared" si="0"/>
        <v>6.5982982529006418E-2</v>
      </c>
      <c r="C19" s="64">
        <f t="shared" si="1"/>
        <v>2.4059829825290064</v>
      </c>
      <c r="D19" s="183">
        <f t="shared" si="2"/>
        <v>-1.9830626586914064</v>
      </c>
      <c r="E19" s="64">
        <f t="shared" si="3"/>
        <v>3.2094299999999997E-4</v>
      </c>
      <c r="F19" s="65">
        <f t="shared" si="4"/>
        <v>325167.5255624394</v>
      </c>
      <c r="G19" s="65">
        <f t="shared" si="5"/>
        <v>9411.7647058823532</v>
      </c>
      <c r="H19" s="66">
        <f t="shared" si="6"/>
        <v>73.661224227885313</v>
      </c>
      <c r="I19" s="66">
        <f t="shared" si="7"/>
        <v>83.763319403138254</v>
      </c>
      <c r="J19" s="426">
        <f t="shared" si="8"/>
        <v>1.8312242017745786</v>
      </c>
      <c r="K19" s="253">
        <f t="shared" si="9"/>
        <v>0.25521676429356255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-2.0228329638190372E-2</v>
      </c>
      <c r="P19" s="64">
        <f t="shared" si="13"/>
        <v>8.6783557860051772E-5</v>
      </c>
      <c r="Q19" s="64">
        <f t="shared" si="14"/>
        <v>8.0984965362174683E-7</v>
      </c>
      <c r="R19" s="271">
        <f t="shared" si="31"/>
        <v>0.13329934270555768</v>
      </c>
      <c r="S19" s="64">
        <f t="shared" si="32"/>
        <v>0.12450359135447267</v>
      </c>
      <c r="T19" s="344">
        <f t="shared" si="33"/>
        <v>2.3050109282132687</v>
      </c>
      <c r="U19" s="279">
        <f t="shared" si="34"/>
        <v>2.5602276925068317</v>
      </c>
      <c r="V19" s="168">
        <f t="shared" si="15"/>
        <v>2.2390279456842621</v>
      </c>
      <c r="W19" s="184">
        <f t="shared" si="16"/>
        <v>2.6549890717867313</v>
      </c>
      <c r="X19" s="457">
        <f t="shared" si="17"/>
        <v>-7.4688294334705576</v>
      </c>
      <c r="Y19" s="72">
        <f t="shared" si="18"/>
        <v>0.96572571064704371</v>
      </c>
      <c r="Z19" s="73">
        <f t="shared" si="19"/>
        <v>0.82798016812694852</v>
      </c>
      <c r="AA19" s="301">
        <f t="shared" si="35"/>
        <v>0.65596033625389705</v>
      </c>
      <c r="AB19" s="69">
        <f t="shared" si="20"/>
        <v>0.61852307082758395</v>
      </c>
      <c r="AC19" s="68">
        <f t="shared" si="21"/>
        <v>0.61852307082758395</v>
      </c>
      <c r="AD19" s="68">
        <f t="shared" si="22"/>
        <v>0.65596033625389705</v>
      </c>
      <c r="AE19" s="23">
        <f t="shared" si="23"/>
        <v>1.1755306785054598</v>
      </c>
      <c r="AF19" s="23">
        <f t="shared" si="24"/>
        <v>0.75592074278862775</v>
      </c>
      <c r="AG19" s="23">
        <f t="shared" si="25"/>
        <v>1.1755306785054598</v>
      </c>
      <c r="AH19" s="23">
        <f t="shared" si="26"/>
        <v>0.75592074278862775</v>
      </c>
      <c r="AI19" s="23">
        <f t="shared" si="27"/>
        <v>0.96572571064704371</v>
      </c>
      <c r="AJ19" s="23">
        <f t="shared" si="28"/>
        <v>0.96572571064704371</v>
      </c>
      <c r="AK19" s="295">
        <f t="shared" si="36"/>
        <v>5.1735899397005762E-4</v>
      </c>
      <c r="AL19" s="70">
        <f t="shared" si="29"/>
        <v>4.96</v>
      </c>
      <c r="AM19" s="191">
        <f t="shared" si="37"/>
        <v>2.5999999999999999E-2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1.8000000000000002E-2</v>
      </c>
      <c r="B20" s="64">
        <f t="shared" si="0"/>
        <v>6.9864334442477388E-2</v>
      </c>
      <c r="C20" s="64">
        <f t="shared" si="1"/>
        <v>2.4098643344424771</v>
      </c>
      <c r="D20" s="183">
        <f t="shared" si="2"/>
        <v>-2.0997134033203126</v>
      </c>
      <c r="E20" s="64">
        <f t="shared" si="3"/>
        <v>3.3982199999999999E-4</v>
      </c>
      <c r="F20" s="65">
        <f t="shared" si="4"/>
        <v>307102.66303119279</v>
      </c>
      <c r="G20" s="65">
        <f t="shared" si="5"/>
        <v>8888.8888888888887</v>
      </c>
      <c r="H20" s="66">
        <f t="shared" si="6"/>
        <v>75.770969731916992</v>
      </c>
      <c r="I20" s="66">
        <f t="shared" si="7"/>
        <v>85.624515045613194</v>
      </c>
      <c r="J20" s="426">
        <f t="shared" si="8"/>
        <v>1.9590295767510826</v>
      </c>
      <c r="K20" s="253">
        <f t="shared" si="9"/>
        <v>0.25611373483368505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-2.1418231381613338E-2</v>
      </c>
      <c r="P20" s="64">
        <f t="shared" si="13"/>
        <v>9.7291266818850326E-5</v>
      </c>
      <c r="Q20" s="64">
        <f t="shared" si="14"/>
        <v>1.0178346604391071E-6</v>
      </c>
      <c r="R20" s="271">
        <f t="shared" si="31"/>
        <v>0.136474230270653</v>
      </c>
      <c r="S20" s="64">
        <f t="shared" si="32"/>
        <v>0.13691542436233387</v>
      </c>
      <c r="T20" s="344">
        <f t="shared" si="33"/>
        <v>2.4522845836612071</v>
      </c>
      <c r="U20" s="279">
        <f t="shared" si="34"/>
        <v>2.7083983184948921</v>
      </c>
      <c r="V20" s="168">
        <f t="shared" si="15"/>
        <v>2.3824202492187299</v>
      </c>
      <c r="W20" s="184">
        <f t="shared" si="16"/>
        <v>2.5077154163387929</v>
      </c>
      <c r="X20" s="457">
        <f t="shared" si="17"/>
        <v>-7.482091797438061</v>
      </c>
      <c r="Y20" s="72">
        <f t="shared" si="18"/>
        <v>0.94473400653607975</v>
      </c>
      <c r="Z20" s="73">
        <f t="shared" si="19"/>
        <v>0.81846891381306686</v>
      </c>
      <c r="AA20" s="301">
        <f t="shared" si="35"/>
        <v>0.63693782762613371</v>
      </c>
      <c r="AB20" s="69">
        <f t="shared" si="20"/>
        <v>0.60046219410168211</v>
      </c>
      <c r="AC20" s="68">
        <f t="shared" si="21"/>
        <v>0.60046219410168211</v>
      </c>
      <c r="AD20" s="68">
        <f t="shared" si="22"/>
        <v>0.63693782762613371</v>
      </c>
      <c r="AE20" s="23">
        <f t="shared" si="23"/>
        <v>1.1499785036958921</v>
      </c>
      <c r="AF20" s="23">
        <f t="shared" si="24"/>
        <v>0.73948950937626756</v>
      </c>
      <c r="AG20" s="23">
        <f t="shared" si="25"/>
        <v>1.1499785036958921</v>
      </c>
      <c r="AH20" s="23">
        <f t="shared" si="26"/>
        <v>0.73948950937626756</v>
      </c>
      <c r="AI20" s="23">
        <f t="shared" si="27"/>
        <v>0.94473400653607975</v>
      </c>
      <c r="AJ20" s="23">
        <f t="shared" si="28"/>
        <v>0.94473400653607975</v>
      </c>
      <c r="AK20" s="295">
        <f t="shared" si="36"/>
        <v>4.9904461311356992E-4</v>
      </c>
      <c r="AL20" s="70">
        <f t="shared" si="29"/>
        <v>4.96</v>
      </c>
      <c r="AM20" s="191">
        <f t="shared" si="37"/>
        <v>2.5999999999999999E-2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1.9000000000000003E-2</v>
      </c>
      <c r="B21" s="64">
        <f t="shared" si="0"/>
        <v>7.3745686355948359E-2</v>
      </c>
      <c r="C21" s="64">
        <f t="shared" si="1"/>
        <v>2.4137456863559481</v>
      </c>
      <c r="D21" s="183">
        <f t="shared" si="2"/>
        <v>-2.2163641479492191</v>
      </c>
      <c r="E21" s="64">
        <f t="shared" si="3"/>
        <v>3.5870100000000001E-4</v>
      </c>
      <c r="F21" s="65">
        <f t="shared" si="4"/>
        <v>290939.36497691949</v>
      </c>
      <c r="G21" s="65">
        <f t="shared" si="5"/>
        <v>8421.0526315789466</v>
      </c>
      <c r="H21" s="66">
        <f t="shared" si="6"/>
        <v>77.939199594575243</v>
      </c>
      <c r="I21" s="66">
        <f t="shared" si="7"/>
        <v>87.549052285700938</v>
      </c>
      <c r="J21" s="426">
        <f t="shared" si="8"/>
        <v>2.0946065720031615</v>
      </c>
      <c r="K21" s="253">
        <f t="shared" si="9"/>
        <v>0.25695938826681264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-2.26081331250363E-2</v>
      </c>
      <c r="P21" s="64">
        <f t="shared" si="13"/>
        <v>1.0839885010864719E-4</v>
      </c>
      <c r="Q21" s="64">
        <f t="shared" si="14"/>
        <v>1.2635106140698131E-6</v>
      </c>
      <c r="R21" s="271">
        <f t="shared" si="31"/>
        <v>0.14032727939120601</v>
      </c>
      <c r="S21" s="64">
        <f t="shared" si="32"/>
        <v>0.15108546044151397</v>
      </c>
      <c r="T21" s="344">
        <f t="shared" si="33"/>
        <v>2.6097662617024433</v>
      </c>
      <c r="U21" s="279">
        <f t="shared" si="34"/>
        <v>2.8667256499692559</v>
      </c>
      <c r="V21" s="168">
        <f t="shared" si="15"/>
        <v>2.5360205753464951</v>
      </c>
      <c r="W21" s="184">
        <f t="shared" si="16"/>
        <v>2.3502337382975567</v>
      </c>
      <c r="X21" s="457">
        <f t="shared" si="17"/>
        <v>-7.4969114621876285</v>
      </c>
      <c r="Y21" s="72">
        <f t="shared" si="18"/>
        <v>0.92396649700756217</v>
      </c>
      <c r="Z21" s="73">
        <f t="shared" si="19"/>
        <v>0.80868060809853382</v>
      </c>
      <c r="AA21" s="301">
        <f t="shared" si="35"/>
        <v>0.61736121619706763</v>
      </c>
      <c r="AB21" s="69">
        <f t="shared" si="20"/>
        <v>0.5818933633452894</v>
      </c>
      <c r="AC21" s="68">
        <f t="shared" si="21"/>
        <v>0.5818933633452894</v>
      </c>
      <c r="AD21" s="68">
        <f t="shared" si="22"/>
        <v>0.61736121619706763</v>
      </c>
      <c r="AE21" s="23">
        <f t="shared" si="23"/>
        <v>1.1246992299872423</v>
      </c>
      <c r="AF21" s="23">
        <f t="shared" si="24"/>
        <v>0.72323376402788209</v>
      </c>
      <c r="AG21" s="23">
        <f t="shared" si="25"/>
        <v>1.1246992299872423</v>
      </c>
      <c r="AH21" s="23">
        <f t="shared" si="26"/>
        <v>0.72323376402788209</v>
      </c>
      <c r="AI21" s="23">
        <f t="shared" si="27"/>
        <v>0.92396649700756217</v>
      </c>
      <c r="AJ21" s="23">
        <f t="shared" si="28"/>
        <v>0.92396649700756217</v>
      </c>
      <c r="AK21" s="295">
        <f t="shared" si="36"/>
        <v>4.8165293668901141E-4</v>
      </c>
      <c r="AL21" s="70">
        <f t="shared" si="29"/>
        <v>4.96</v>
      </c>
      <c r="AM21" s="191">
        <f t="shared" si="37"/>
        <v>2.5999999999999999E-2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2.0000000000000004E-2</v>
      </c>
      <c r="B22" s="64">
        <f t="shared" si="0"/>
        <v>7.7627038269419329E-2</v>
      </c>
      <c r="C22" s="64">
        <f t="shared" si="1"/>
        <v>2.4176270382694192</v>
      </c>
      <c r="D22" s="183">
        <f t="shared" si="2"/>
        <v>-2.3330148925781256</v>
      </c>
      <c r="E22" s="64">
        <f t="shared" si="3"/>
        <v>3.7758000000000003E-4</v>
      </c>
      <c r="F22" s="65">
        <f t="shared" si="4"/>
        <v>276392.39672807348</v>
      </c>
      <c r="G22" s="65">
        <f t="shared" si="5"/>
        <v>7999.9999999999982</v>
      </c>
      <c r="H22" s="66">
        <f t="shared" si="6"/>
        <v>80.161168234592679</v>
      </c>
      <c r="I22" s="66">
        <f t="shared" si="7"/>
        <v>89.532846572730108</v>
      </c>
      <c r="J22" s="426">
        <f t="shared" si="8"/>
        <v>2.2379790508835402</v>
      </c>
      <c r="K22" s="253">
        <f t="shared" si="9"/>
        <v>0.2577846186181163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-2.3798034868459265E-2</v>
      </c>
      <c r="P22" s="64">
        <f t="shared" si="13"/>
        <v>1.2010621339893117E-4</v>
      </c>
      <c r="Q22" s="64">
        <f t="shared" si="14"/>
        <v>1.5511740232531487E-6</v>
      </c>
      <c r="R22" s="271">
        <f t="shared" si="31"/>
        <v>0.14492248299763794</v>
      </c>
      <c r="S22" s="64">
        <f t="shared" si="32"/>
        <v>0.16728500581991387</v>
      </c>
      <c r="T22" s="344">
        <f t="shared" si="33"/>
        <v>2.777815129144535</v>
      </c>
      <c r="U22" s="279">
        <f t="shared" si="34"/>
        <v>3.0355997477626513</v>
      </c>
      <c r="V22" s="168">
        <f t="shared" si="15"/>
        <v>2.7001880908751157</v>
      </c>
      <c r="W22" s="184">
        <f t="shared" si="16"/>
        <v>2.182184870855465</v>
      </c>
      <c r="X22" s="457">
        <f t="shared" si="17"/>
        <v>-7.5134880780601412</v>
      </c>
      <c r="Y22" s="72">
        <f t="shared" si="18"/>
        <v>0.90349401647851968</v>
      </c>
      <c r="Z22" s="73">
        <f t="shared" si="19"/>
        <v>0.79865658803605932</v>
      </c>
      <c r="AA22" s="301">
        <f t="shared" si="35"/>
        <v>0.59731317607211865</v>
      </c>
      <c r="AB22" s="69">
        <f t="shared" si="20"/>
        <v>0.56289012930242288</v>
      </c>
      <c r="AC22" s="68">
        <f t="shared" si="21"/>
        <v>0.56289012930242288</v>
      </c>
      <c r="AD22" s="68">
        <f t="shared" si="22"/>
        <v>0.59731317607211865</v>
      </c>
      <c r="AE22" s="23">
        <f t="shared" si="23"/>
        <v>1.0997790806511842</v>
      </c>
      <c r="AF22" s="23">
        <f t="shared" si="24"/>
        <v>0.70720895230585523</v>
      </c>
      <c r="AG22" s="23">
        <f t="shared" si="25"/>
        <v>1.0997790806511842</v>
      </c>
      <c r="AH22" s="23">
        <f t="shared" si="26"/>
        <v>0.70720895230585523</v>
      </c>
      <c r="AI22" s="23">
        <f t="shared" si="27"/>
        <v>0.90349401647851968</v>
      </c>
      <c r="AJ22" s="23">
        <f t="shared" si="28"/>
        <v>0.90349401647851968</v>
      </c>
      <c r="AK22" s="295">
        <f t="shared" si="36"/>
        <v>4.6515627856090919E-4</v>
      </c>
      <c r="AL22" s="70">
        <f t="shared" si="29"/>
        <v>4.96</v>
      </c>
      <c r="AM22" s="191">
        <f t="shared" si="37"/>
        <v>2.5999999999999999E-2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2.1000000000000005E-2</v>
      </c>
      <c r="B23" s="52">
        <f t="shared" si="0"/>
        <v>8.15083901828903E-2</v>
      </c>
      <c r="C23" s="52">
        <f t="shared" si="1"/>
        <v>2.4215083901828902</v>
      </c>
      <c r="D23" s="180">
        <f t="shared" si="2"/>
        <v>-2.449665637207032</v>
      </c>
      <c r="E23" s="52">
        <f t="shared" si="3"/>
        <v>3.9645899999999999E-4</v>
      </c>
      <c r="F23" s="53">
        <f t="shared" si="4"/>
        <v>263230.85402673663</v>
      </c>
      <c r="G23" s="53">
        <f t="shared" si="5"/>
        <v>7619.0476190476174</v>
      </c>
      <c r="H23" s="54">
        <f t="shared" si="6"/>
        <v>82.432530180687607</v>
      </c>
      <c r="I23" s="54">
        <f t="shared" si="7"/>
        <v>91.572046797433401</v>
      </c>
      <c r="J23" s="425">
        <f t="shared" si="8"/>
        <v>2.3891861309029667</v>
      </c>
      <c r="K23" s="252">
        <f t="shared" si="9"/>
        <v>0.25862443404697411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-2.4987936611882228E-2</v>
      </c>
      <c r="P23" s="52">
        <f t="shared" si="13"/>
        <v>1.324132572691947E-4</v>
      </c>
      <c r="Q23" s="52">
        <f t="shared" si="14"/>
        <v>1.8853524269608924E-6</v>
      </c>
      <c r="R23" s="268">
        <f t="shared" si="31"/>
        <v>0.15033575866521098</v>
      </c>
      <c r="S23" s="52">
        <f t="shared" si="32"/>
        <v>0.1858436623538198</v>
      </c>
      <c r="T23" s="282">
        <f t="shared" si="33"/>
        <v>2.9568758274573148</v>
      </c>
      <c r="U23" s="278">
        <f t="shared" si="34"/>
        <v>3.2155002615042894</v>
      </c>
      <c r="V23" s="181">
        <f t="shared" si="15"/>
        <v>2.8753674372744245</v>
      </c>
      <c r="W23" s="182">
        <f t="shared" si="16"/>
        <v>2.0031241725426852</v>
      </c>
      <c r="X23" s="456">
        <f t="shared" si="17"/>
        <v>-7.5320623680865424</v>
      </c>
      <c r="Y23" s="59">
        <f t="shared" si="18"/>
        <v>0.88337428271853657</v>
      </c>
      <c r="Z23" s="60">
        <f t="shared" si="19"/>
        <v>0.7884372798601107</v>
      </c>
      <c r="AA23" s="300">
        <f t="shared" si="35"/>
        <v>0.57687455972022139</v>
      </c>
      <c r="AB23" s="56">
        <f t="shared" si="20"/>
        <v>0.54352427261516234</v>
      </c>
      <c r="AC23" s="55">
        <f t="shared" si="21"/>
        <v>0.54352427261516234</v>
      </c>
      <c r="AD23" s="55">
        <f t="shared" si="22"/>
        <v>0.57687455972022139</v>
      </c>
      <c r="AE23" s="61">
        <f t="shared" si="23"/>
        <v>1.0752883127059303</v>
      </c>
      <c r="AF23" s="61">
        <f t="shared" si="24"/>
        <v>0.69146025273114287</v>
      </c>
      <c r="AG23" s="61">
        <f t="shared" si="25"/>
        <v>1.0752883127059303</v>
      </c>
      <c r="AH23" s="61">
        <f t="shared" si="26"/>
        <v>0.69146025273114287</v>
      </c>
      <c r="AI23" s="61">
        <f t="shared" si="27"/>
        <v>0.88337428271853657</v>
      </c>
      <c r="AJ23" s="61">
        <f t="shared" si="28"/>
        <v>0.88337428271853657</v>
      </c>
      <c r="AK23" s="306">
        <f t="shared" si="36"/>
        <v>4.495197776980339E-4</v>
      </c>
      <c r="AL23" s="57">
        <f t="shared" si="29"/>
        <v>4.96</v>
      </c>
      <c r="AM23" s="190">
        <f t="shared" si="37"/>
        <v>2.5999999999999999E-2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2.2000000000000006E-2</v>
      </c>
      <c r="B24" s="64">
        <f t="shared" si="0"/>
        <v>8.5389742096361271E-2</v>
      </c>
      <c r="C24" s="64">
        <f t="shared" si="1"/>
        <v>2.4253897420963613</v>
      </c>
      <c r="D24" s="183">
        <f t="shared" si="2"/>
        <v>-2.566316381835938</v>
      </c>
      <c r="E24" s="64">
        <f t="shared" si="3"/>
        <v>4.1533800000000001E-4</v>
      </c>
      <c r="F24" s="65">
        <f t="shared" si="4"/>
        <v>251265.81520733956</v>
      </c>
      <c r="G24" s="65">
        <f t="shared" si="5"/>
        <v>7272.7272727272712</v>
      </c>
      <c r="H24" s="66">
        <f t="shared" si="6"/>
        <v>84.74931416364943</v>
      </c>
      <c r="I24" s="66">
        <f t="shared" si="7"/>
        <v>93.663034191138124</v>
      </c>
      <c r="J24" s="426">
        <f t="shared" si="8"/>
        <v>2.5482882656084604</v>
      </c>
      <c r="K24" s="253">
        <f t="shared" si="9"/>
        <v>0.25951735823271749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-2.617783835530519E-2</v>
      </c>
      <c r="P24" s="64">
        <f t="shared" si="13"/>
        <v>1.453198772102998E-4</v>
      </c>
      <c r="Q24" s="64">
        <f t="shared" si="14"/>
        <v>2.2708042019572135E-6</v>
      </c>
      <c r="R24" s="271">
        <f t="shared" ref="R24:R37" si="44">10*LOG10(1/SQRT(1-AK24*(Q/AA24)^2))</f>
        <v>0.15665797559250852</v>
      </c>
      <c r="S24" s="64">
        <f t="shared" ref="S24:S37" si="45">-10*LOG10(AA24*SQRT(1-Q*Q*((SD_blw^2+AK24)/AA24^2+Vmn+(P24*P24))))-$T$13-J24-L24-Q24-N24-R24-Pmn</f>
        <v>0.20716533805226159</v>
      </c>
      <c r="T24" s="344">
        <f t="shared" si="33"/>
        <v>3.1475035921537939</v>
      </c>
      <c r="U24" s="279">
        <f t="shared" si="34"/>
        <v>3.4070209503865114</v>
      </c>
      <c r="V24" s="168">
        <f t="shared" si="15"/>
        <v>3.0621138500574325</v>
      </c>
      <c r="W24" s="184">
        <f t="shared" si="16"/>
        <v>1.812496407846206</v>
      </c>
      <c r="X24" s="457">
        <f t="shared" si="17"/>
        <v>-7.5529271602283066</v>
      </c>
      <c r="Y24" s="72">
        <f t="shared" si="18"/>
        <v>0.86365332764763869</v>
      </c>
      <c r="Z24" s="73">
        <f t="shared" si="19"/>
        <v>0.77806170267131747</v>
      </c>
      <c r="AA24" s="301">
        <f t="shared" si="35"/>
        <v>0.55612340534263494</v>
      </c>
      <c r="AB24" s="69">
        <f t="shared" si="20"/>
        <v>0.52386506500848684</v>
      </c>
      <c r="AC24" s="68">
        <f t="shared" si="21"/>
        <v>0.52386506500848684</v>
      </c>
      <c r="AD24" s="68">
        <f t="shared" si="22"/>
        <v>0.55612340534263494</v>
      </c>
      <c r="AE24" s="23">
        <f t="shared" si="23"/>
        <v>1.0512829585565251</v>
      </c>
      <c r="AF24" s="23">
        <f t="shared" si="24"/>
        <v>0.67602369673875229</v>
      </c>
      <c r="AG24" s="23">
        <f t="shared" si="25"/>
        <v>1.0512829585565251</v>
      </c>
      <c r="AH24" s="23">
        <f t="shared" si="26"/>
        <v>0.67602369673875229</v>
      </c>
      <c r="AI24" s="23">
        <f t="shared" si="27"/>
        <v>0.86365332764763869</v>
      </c>
      <c r="AJ24" s="23">
        <f t="shared" si="28"/>
        <v>0.86365332764763869</v>
      </c>
      <c r="AK24" s="295">
        <f t="shared" ref="AK24:AK38" si="46">kRIN*10^6*$AK$7*$AK$7/(SQRT((1/F24)^2+(1/G24)^2+0.477*(1/$T$5)^2))*10^($G$4/10)</f>
        <v>4.3470418369815408E-4</v>
      </c>
      <c r="AL24" s="70">
        <f t="shared" si="29"/>
        <v>4.96</v>
      </c>
      <c r="AM24" s="191">
        <f t="shared" si="37"/>
        <v>2.5999999999999999E-2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2.3000000000000007E-2</v>
      </c>
      <c r="B25" s="64">
        <f t="shared" si="0"/>
        <v>8.9271094009832241E-2</v>
      </c>
      <c r="C25" s="64">
        <f t="shared" si="1"/>
        <v>2.4292710940098319</v>
      </c>
      <c r="D25" s="183">
        <f t="shared" si="2"/>
        <v>-2.6829671264648445</v>
      </c>
      <c r="E25" s="64">
        <f t="shared" si="3"/>
        <v>4.3421700000000003E-4</v>
      </c>
      <c r="F25" s="65">
        <f t="shared" si="4"/>
        <v>240341.21454615085</v>
      </c>
      <c r="G25" s="65">
        <f t="shared" si="5"/>
        <v>6956.5217391304332</v>
      </c>
      <c r="H25" s="66">
        <f t="shared" si="6"/>
        <v>87.10789602780909</v>
      </c>
      <c r="I25" s="66">
        <f t="shared" si="7"/>
        <v>95.8024178874049</v>
      </c>
      <c r="J25" s="426">
        <f t="shared" si="8"/>
        <v>2.7153735063110056</v>
      </c>
      <c r="K25" s="253">
        <f t="shared" si="9"/>
        <v>0.26050503554631366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-2.7367740098728156E-2</v>
      </c>
      <c r="P25" s="64">
        <f t="shared" si="13"/>
        <v>1.5882596362596185E-4</v>
      </c>
      <c r="Q25" s="64">
        <f t="shared" si="14"/>
        <v>2.71251836255722E-6</v>
      </c>
      <c r="R25" s="271">
        <f t="shared" si="44"/>
        <v>0.1639986087789658</v>
      </c>
      <c r="S25" s="64">
        <f t="shared" si="45"/>
        <v>0.23174975018208568</v>
      </c>
      <c r="T25" s="344">
        <f t="shared" si="33"/>
        <v>3.3503956718002517</v>
      </c>
      <c r="U25" s="279">
        <f t="shared" si="34"/>
        <v>3.6109007073465653</v>
      </c>
      <c r="V25" s="168">
        <f t="shared" si="15"/>
        <v>3.2611245777904196</v>
      </c>
      <c r="W25" s="184">
        <f t="shared" si="16"/>
        <v>1.6096043281997483</v>
      </c>
      <c r="X25" s="457">
        <f t="shared" si="17"/>
        <v>-7.5764417931073069</v>
      </c>
      <c r="Y25" s="72">
        <f t="shared" si="18"/>
        <v>0.84436690576873097</v>
      </c>
      <c r="Z25" s="73">
        <f t="shared" si="19"/>
        <v>0.76756706432414101</v>
      </c>
      <c r="AA25" s="301">
        <f t="shared" si="35"/>
        <v>0.53513412864828203</v>
      </c>
      <c r="AB25" s="69">
        <f t="shared" si="20"/>
        <v>0.50397865807121045</v>
      </c>
      <c r="AC25" s="68">
        <f t="shared" si="21"/>
        <v>0.50397865807121045</v>
      </c>
      <c r="AD25" s="68">
        <f t="shared" si="22"/>
        <v>0.53513412864828203</v>
      </c>
      <c r="AE25" s="23">
        <f t="shared" si="23"/>
        <v>1.0278065404107717</v>
      </c>
      <c r="AF25" s="23">
        <f t="shared" si="24"/>
        <v>0.66092727112669036</v>
      </c>
      <c r="AG25" s="23">
        <f t="shared" si="25"/>
        <v>1.0278065404107717</v>
      </c>
      <c r="AH25" s="23">
        <f t="shared" si="26"/>
        <v>0.66092727112669036</v>
      </c>
      <c r="AI25" s="23">
        <f t="shared" si="27"/>
        <v>0.84436690576873097</v>
      </c>
      <c r="AJ25" s="23">
        <f t="shared" si="28"/>
        <v>0.84436690576873097</v>
      </c>
      <c r="AK25" s="295">
        <f t="shared" si="46"/>
        <v>4.20667920476251E-4</v>
      </c>
      <c r="AL25" s="70">
        <f t="shared" si="29"/>
        <v>4.96</v>
      </c>
      <c r="AM25" s="191">
        <f t="shared" si="37"/>
        <v>2.5999999999999999E-2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2.4000000000000007E-2</v>
      </c>
      <c r="B26" s="64">
        <f t="shared" si="0"/>
        <v>9.3152445923303198E-2</v>
      </c>
      <c r="C26" s="64">
        <f t="shared" si="1"/>
        <v>2.4331524459233029</v>
      </c>
      <c r="D26" s="183">
        <f t="shared" si="2"/>
        <v>-2.7996178710937509</v>
      </c>
      <c r="E26" s="64">
        <f t="shared" si="3"/>
        <v>4.5309600000000005E-4</v>
      </c>
      <c r="F26" s="65">
        <f t="shared" si="4"/>
        <v>230326.99727339455</v>
      </c>
      <c r="G26" s="65">
        <f t="shared" si="5"/>
        <v>6666.6666666666642</v>
      </c>
      <c r="H26" s="66">
        <f t="shared" si="6"/>
        <v>89.504971535317111</v>
      </c>
      <c r="I26" s="66">
        <f t="shared" si="7"/>
        <v>97.987027979316153</v>
      </c>
      <c r="J26" s="426">
        <f t="shared" si="8"/>
        <v>2.8905639964630705</v>
      </c>
      <c r="K26" s="253">
        <f t="shared" si="9"/>
        <v>0.26163206276952344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-2.8557641842151121E-2</v>
      </c>
      <c r="P26" s="64">
        <f t="shared" si="13"/>
        <v>1.7293140183430392E-4</v>
      </c>
      <c r="Q26" s="64">
        <f t="shared" si="14"/>
        <v>3.215714347753734E-6</v>
      </c>
      <c r="R26" s="271">
        <f t="shared" si="44"/>
        <v>0.17249027148413443</v>
      </c>
      <c r="S26" s="64">
        <f t="shared" si="45"/>
        <v>0.26022177444142958</v>
      </c>
      <c r="T26" s="344">
        <f t="shared" si="33"/>
        <v>3.5664317040262854</v>
      </c>
      <c r="U26" s="279">
        <f t="shared" si="34"/>
        <v>3.8280637667958088</v>
      </c>
      <c r="V26" s="168">
        <f t="shared" si="15"/>
        <v>3.4732792581029823</v>
      </c>
      <c r="W26" s="184">
        <f t="shared" si="16"/>
        <v>1.3935682959737146</v>
      </c>
      <c r="X26" s="457">
        <f t="shared" si="17"/>
        <v>-7.603051323051603</v>
      </c>
      <c r="Y26" s="72">
        <f t="shared" si="18"/>
        <v>0.82554183778108237</v>
      </c>
      <c r="Z26" s="73">
        <f t="shared" si="19"/>
        <v>0.75698844982293567</v>
      </c>
      <c r="AA26" s="301">
        <f t="shared" si="35"/>
        <v>0.51397689964587134</v>
      </c>
      <c r="AB26" s="69">
        <f t="shared" si="20"/>
        <v>0.48392760223246833</v>
      </c>
      <c r="AC26" s="68">
        <f t="shared" si="21"/>
        <v>0.48392760223246833</v>
      </c>
      <c r="AD26" s="68">
        <f t="shared" si="22"/>
        <v>0.51397689964587134</v>
      </c>
      <c r="AE26" s="23">
        <f t="shared" si="23"/>
        <v>1.0048917057942168</v>
      </c>
      <c r="AF26" s="23">
        <f t="shared" si="24"/>
        <v>0.64619196976794802</v>
      </c>
      <c r="AG26" s="23">
        <f t="shared" si="25"/>
        <v>1.0048917057942168</v>
      </c>
      <c r="AH26" s="23">
        <f t="shared" si="26"/>
        <v>0.64619196976794802</v>
      </c>
      <c r="AI26" s="23">
        <f t="shared" si="27"/>
        <v>0.82554183778108237</v>
      </c>
      <c r="AJ26" s="23">
        <f t="shared" si="28"/>
        <v>0.82554183778108237</v>
      </c>
      <c r="AK26" s="295">
        <f t="shared" si="46"/>
        <v>4.0736858690274485E-4</v>
      </c>
      <c r="AL26" s="70">
        <f t="shared" si="29"/>
        <v>4.96</v>
      </c>
      <c r="AM26" s="191">
        <f t="shared" si="37"/>
        <v>2.5999999999999999E-2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2.5000000000000008E-2</v>
      </c>
      <c r="B27" s="64">
        <f t="shared" si="0"/>
        <v>9.7033797836774169E-2</v>
      </c>
      <c r="C27" s="64">
        <f t="shared" si="1"/>
        <v>2.437033797836774</v>
      </c>
      <c r="D27" s="183">
        <f t="shared" si="2"/>
        <v>-2.9162686157226574</v>
      </c>
      <c r="E27" s="64">
        <f t="shared" si="3"/>
        <v>4.7197500000000007E-4</v>
      </c>
      <c r="F27" s="65">
        <f t="shared" si="4"/>
        <v>221113.91738245875</v>
      </c>
      <c r="G27" s="65">
        <f t="shared" si="5"/>
        <v>6399.9999999999982</v>
      </c>
      <c r="H27" s="66">
        <f t="shared" si="6"/>
        <v>91.937529815891409</v>
      </c>
      <c r="I27" s="66">
        <f t="shared" si="7"/>
        <v>100.21390677610209</v>
      </c>
      <c r="J27" s="426">
        <f t="shared" si="8"/>
        <v>3.07402280721726</v>
      </c>
      <c r="K27" s="253">
        <f t="shared" si="9"/>
        <v>0.26294606479799976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-2.9747543585574087E-2</v>
      </c>
      <c r="P27" s="64">
        <f t="shared" si="13"/>
        <v>1.876360720695054E-4</v>
      </c>
      <c r="Q27" s="64">
        <f t="shared" si="14"/>
        <v>3.7858418014890418E-6</v>
      </c>
      <c r="R27" s="271">
        <f t="shared" si="44"/>
        <v>0.18229446029459889</v>
      </c>
      <c r="S27" s="64">
        <f t="shared" si="45"/>
        <v>0.29337222551208875</v>
      </c>
      <c r="T27" s="344">
        <f t="shared" si="33"/>
        <v>3.7967270767025232</v>
      </c>
      <c r="U27" s="279">
        <f t="shared" si="34"/>
        <v>4.0596731415005234</v>
      </c>
      <c r="V27" s="168">
        <f t="shared" si="15"/>
        <v>3.6996932788657491</v>
      </c>
      <c r="W27" s="184">
        <f t="shared" si="16"/>
        <v>1.1632729232974768</v>
      </c>
      <c r="X27" s="457">
        <f t="shared" si="17"/>
        <v>-7.6333126594383218</v>
      </c>
      <c r="Y27" s="72">
        <f t="shared" si="18"/>
        <v>0.807197261927736</v>
      </c>
      <c r="Z27" s="73">
        <f t="shared" si="19"/>
        <v>0.74635859783647474</v>
      </c>
      <c r="AA27" s="301">
        <f t="shared" si="35"/>
        <v>0.49271719567294947</v>
      </c>
      <c r="AB27" s="69">
        <f t="shared" si="20"/>
        <v>0.46377049217943656</v>
      </c>
      <c r="AC27" s="68">
        <f t="shared" si="21"/>
        <v>0.46377049217943656</v>
      </c>
      <c r="AD27" s="68">
        <f t="shared" si="22"/>
        <v>0.49271719567294947</v>
      </c>
      <c r="AE27" s="23">
        <f t="shared" si="23"/>
        <v>0.98256175075415597</v>
      </c>
      <c r="AF27" s="23">
        <f t="shared" si="24"/>
        <v>0.63183277310131591</v>
      </c>
      <c r="AG27" s="23">
        <f t="shared" si="25"/>
        <v>0.98256175075415597</v>
      </c>
      <c r="AH27" s="23">
        <f t="shared" si="26"/>
        <v>0.63183277310131591</v>
      </c>
      <c r="AI27" s="23">
        <f t="shared" si="27"/>
        <v>0.807197261927736</v>
      </c>
      <c r="AJ27" s="23">
        <f t="shared" si="28"/>
        <v>0.807197261927736</v>
      </c>
      <c r="AK27" s="295">
        <f t="shared" si="46"/>
        <v>3.9476402487504926E-4</v>
      </c>
      <c r="AL27" s="70">
        <f t="shared" si="29"/>
        <v>4.96</v>
      </c>
      <c r="AM27" s="191">
        <f t="shared" si="37"/>
        <v>2.5999999999999999E-2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2.6000000000000009E-2</v>
      </c>
      <c r="B28" s="52">
        <f t="shared" si="0"/>
        <v>0.10091514975024514</v>
      </c>
      <c r="C28" s="52">
        <f t="shared" si="1"/>
        <v>2.440915149750245</v>
      </c>
      <c r="D28" s="180">
        <f t="shared" si="2"/>
        <v>-3.0329193603515638</v>
      </c>
      <c r="E28" s="52">
        <f t="shared" si="3"/>
        <v>4.9085400000000009E-4</v>
      </c>
      <c r="F28" s="53">
        <f t="shared" si="4"/>
        <v>212609.53594467186</v>
      </c>
      <c r="G28" s="53">
        <f t="shared" si="5"/>
        <v>6153.8461538461515</v>
      </c>
      <c r="H28" s="54">
        <f t="shared" si="6"/>
        <v>94.402827964640949</v>
      </c>
      <c r="I28" s="54">
        <f t="shared" si="7"/>
        <v>102.4802988403281</v>
      </c>
      <c r="J28" s="425">
        <f t="shared" si="8"/>
        <v>3.265961279790877</v>
      </c>
      <c r="K28" s="252">
        <f t="shared" si="9"/>
        <v>0.26449803168664099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-3.0937445328997053E-2</v>
      </c>
      <c r="P28" s="52">
        <f t="shared" si="13"/>
        <v>2.0293984948340353E-4</v>
      </c>
      <c r="Q28" s="52">
        <f t="shared" si="14"/>
        <v>4.4285803470263328E-6</v>
      </c>
      <c r="R28" s="268">
        <f t="shared" si="44"/>
        <v>0.19360896944039671</v>
      </c>
      <c r="S28" s="52">
        <f t="shared" si="45"/>
        <v>0.33221566972903072</v>
      </c>
      <c r="T28" s="282">
        <f t="shared" si="33"/>
        <v>4.0427054972908962</v>
      </c>
      <c r="U28" s="278">
        <f t="shared" si="34"/>
        <v>4.3072035289775377</v>
      </c>
      <c r="V28" s="181">
        <f t="shared" si="15"/>
        <v>3.9417903475406511</v>
      </c>
      <c r="W28" s="182">
        <f t="shared" si="16"/>
        <v>0.91729450270910373</v>
      </c>
      <c r="X28" s="456">
        <f t="shared" si="17"/>
        <v>-7.6679308853446084</v>
      </c>
      <c r="Y28" s="59">
        <f t="shared" si="18"/>
        <v>0.7893457774043704</v>
      </c>
      <c r="Z28" s="60">
        <f t="shared" si="19"/>
        <v>0.73570775766658114</v>
      </c>
      <c r="AA28" s="300">
        <f t="shared" si="35"/>
        <v>0.47141551533316228</v>
      </c>
      <c r="AB28" s="56">
        <f t="shared" si="20"/>
        <v>0.44356173019525236</v>
      </c>
      <c r="AC28" s="55">
        <f t="shared" si="21"/>
        <v>0.44356173019525236</v>
      </c>
      <c r="AD28" s="55">
        <f t="shared" si="22"/>
        <v>0.47141551533316228</v>
      </c>
      <c r="AE28" s="61">
        <f t="shared" si="23"/>
        <v>0.96083201167532217</v>
      </c>
      <c r="AF28" s="61">
        <f t="shared" si="24"/>
        <v>0.61785954313341862</v>
      </c>
      <c r="AG28" s="61">
        <f t="shared" si="25"/>
        <v>0.96083201167532217</v>
      </c>
      <c r="AH28" s="61">
        <f t="shared" si="26"/>
        <v>0.61785954313341862</v>
      </c>
      <c r="AI28" s="61">
        <f t="shared" si="27"/>
        <v>0.7893457774043704</v>
      </c>
      <c r="AJ28" s="61">
        <f t="shared" si="28"/>
        <v>0.7893457774043704</v>
      </c>
      <c r="AK28" s="306">
        <f t="shared" si="46"/>
        <v>3.8281305936342441E-4</v>
      </c>
      <c r="AL28" s="57">
        <f t="shared" si="29"/>
        <v>4.96</v>
      </c>
      <c r="AM28" s="190">
        <f t="shared" si="37"/>
        <v>2.5999999999999999E-2</v>
      </c>
      <c r="AN28" s="193">
        <f t="shared" si="42"/>
        <v>8</v>
      </c>
      <c r="AO28" s="58">
        <f t="shared" si="38"/>
        <v>0.91729450270910373</v>
      </c>
      <c r="AP28" s="350">
        <f t="shared" si="39"/>
        <v>102.4802988403281</v>
      </c>
      <c r="AQ28" s="351">
        <f>IF($A28=$L$3,B_1*Tb_eff*(1+$G$9)/(SQRT(8)*SQRT($H28^2+$AG$8^2)),0)</f>
        <v>0.77708692298369075</v>
      </c>
      <c r="AR28" s="351">
        <f>IF($A28=$L$3,B_1*Tb_eff*(1-$G$9)/(SQRT(8)*SQRT($H28^2+$AG$8^2)),0)</f>
        <v>0.77708692298369075</v>
      </c>
    </row>
    <row r="29" spans="1:44" s="74" customFormat="1" ht="15" customHeight="1" x14ac:dyDescent="0.2">
      <c r="A29" s="63">
        <f t="shared" si="41"/>
        <v>2.700000000000001E-2</v>
      </c>
      <c r="B29" s="64">
        <f t="shared" si="0"/>
        <v>0.10479650166371611</v>
      </c>
      <c r="C29" s="64">
        <f t="shared" si="1"/>
        <v>2.4447965016637161</v>
      </c>
      <c r="D29" s="183">
        <f t="shared" si="2"/>
        <v>-3.1495701049804699</v>
      </c>
      <c r="E29" s="64">
        <f t="shared" si="3"/>
        <v>5.0973300000000006E-4</v>
      </c>
      <c r="F29" s="65">
        <f t="shared" si="4"/>
        <v>204735.10868746179</v>
      </c>
      <c r="G29" s="65">
        <f t="shared" si="5"/>
        <v>5925.9259259259234</v>
      </c>
      <c r="H29" s="66">
        <f t="shared" si="6"/>
        <v>96.898367100580899</v>
      </c>
      <c r="I29" s="66">
        <f t="shared" si="7"/>
        <v>104.78364027576202</v>
      </c>
      <c r="J29" s="426">
        <f t="shared" si="8"/>
        <v>3.4666471018462532</v>
      </c>
      <c r="K29" s="253">
        <f t="shared" si="9"/>
        <v>0.2663429397421333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-3.2127347072420015E-2</v>
      </c>
      <c r="P29" s="64">
        <f t="shared" si="13"/>
        <v>2.1884260414740099E-4</v>
      </c>
      <c r="Q29" s="64">
        <f t="shared" si="14"/>
        <v>5.1498393438388755E-6</v>
      </c>
      <c r="R29" s="271">
        <f t="shared" si="44"/>
        <v>0.20667761261569706</v>
      </c>
      <c r="S29" s="64">
        <f t="shared" si="45"/>
        <v>0.37807427197481458</v>
      </c>
      <c r="T29" s="344">
        <f t="shared" si="33"/>
        <v>4.3062006379398259</v>
      </c>
      <c r="U29" s="279">
        <f t="shared" si="34"/>
        <v>4.5725435776819587</v>
      </c>
      <c r="V29" s="168">
        <f t="shared" si="15"/>
        <v>4.2014041362761096</v>
      </c>
      <c r="W29" s="184">
        <f t="shared" si="16"/>
        <v>0.65379936206017408</v>
      </c>
      <c r="X29" s="457">
        <f t="shared" si="17"/>
        <v>-7.7078109028152682</v>
      </c>
      <c r="Y29" s="72">
        <f t="shared" si="18"/>
        <v>0.77199447302903623</v>
      </c>
      <c r="Z29" s="73">
        <f t="shared" si="19"/>
        <v>0.7250636170048117</v>
      </c>
      <c r="AA29" s="301">
        <f t="shared" si="35"/>
        <v>0.4501272340096234</v>
      </c>
      <c r="AB29" s="69">
        <f t="shared" si="20"/>
        <v>0.42335139565524438</v>
      </c>
      <c r="AC29" s="68">
        <f t="shared" si="21"/>
        <v>0.42335139565524438</v>
      </c>
      <c r="AD29" s="68">
        <f t="shared" si="22"/>
        <v>0.4501272340096234</v>
      </c>
      <c r="AE29" s="23">
        <f t="shared" si="23"/>
        <v>0.93971111742924773</v>
      </c>
      <c r="AF29" s="23">
        <f t="shared" si="24"/>
        <v>0.60427782862882473</v>
      </c>
      <c r="AG29" s="23">
        <f t="shared" si="25"/>
        <v>0.93971111742924773</v>
      </c>
      <c r="AH29" s="23">
        <f t="shared" si="26"/>
        <v>0.60427782862882473</v>
      </c>
      <c r="AI29" s="23">
        <f t="shared" si="27"/>
        <v>0.77199447302903623</v>
      </c>
      <c r="AJ29" s="23">
        <f t="shared" si="28"/>
        <v>0.77199447302903623</v>
      </c>
      <c r="AK29" s="295">
        <f t="shared" si="46"/>
        <v>3.7147599263762294E-4</v>
      </c>
      <c r="AL29" s="70">
        <f t="shared" si="29"/>
        <v>4.96</v>
      </c>
      <c r="AM29" s="191">
        <f t="shared" si="37"/>
        <v>2.5999999999999999E-2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2.8000000000000011E-2</v>
      </c>
      <c r="B30" s="64">
        <f t="shared" si="0"/>
        <v>0.10867785357718708</v>
      </c>
      <c r="C30" s="64">
        <f t="shared" si="1"/>
        <v>2.4486778535771871</v>
      </c>
      <c r="D30" s="183">
        <f t="shared" si="2"/>
        <v>-3.2662208496093763</v>
      </c>
      <c r="E30" s="64">
        <f t="shared" si="3"/>
        <v>5.2861200000000014E-4</v>
      </c>
      <c r="F30" s="65">
        <f t="shared" si="4"/>
        <v>197423.14052005246</v>
      </c>
      <c r="G30" s="65">
        <f t="shared" si="5"/>
        <v>5714.2857142857119</v>
      </c>
      <c r="H30" s="66">
        <f t="shared" si="6"/>
        <v>99.421870057648547</v>
      </c>
      <c r="I30" s="66">
        <f t="shared" si="7"/>
        <v>107.12154763837812</v>
      </c>
      <c r="J30" s="426">
        <f t="shared" si="8"/>
        <v>3.6764134158889923</v>
      </c>
      <c r="K30" s="253">
        <f t="shared" si="9"/>
        <v>0.26854069055089935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-3.3317248815842977E-2</v>
      </c>
      <c r="P30" s="64">
        <f t="shared" si="13"/>
        <v>2.3534420105423228E-4</v>
      </c>
      <c r="Q30" s="64">
        <f t="shared" si="14"/>
        <v>5.9557576405070715E-6</v>
      </c>
      <c r="R30" s="271">
        <f t="shared" si="44"/>
        <v>0.22180316364297123</v>
      </c>
      <c r="S30" s="64">
        <f t="shared" si="45"/>
        <v>0.43270262654263247</v>
      </c>
      <c r="T30" s="344">
        <f t="shared" si="33"/>
        <v>4.5896030154094243</v>
      </c>
      <c r="U30" s="279">
        <f t="shared" si="34"/>
        <v>4.8581437059603241</v>
      </c>
      <c r="V30" s="168">
        <f t="shared" si="15"/>
        <v>4.4809251618322374</v>
      </c>
      <c r="W30" s="184">
        <f t="shared" si="16"/>
        <v>0.37039698459057568</v>
      </c>
      <c r="X30" s="457">
        <f t="shared" si="17"/>
        <v>-7.7541327889582181</v>
      </c>
      <c r="Y30" s="72">
        <f t="shared" si="18"/>
        <v>0.75514584077732205</v>
      </c>
      <c r="Z30" s="73">
        <f t="shared" si="19"/>
        <v>0.71445128986666728</v>
      </c>
      <c r="AA30" s="301">
        <f t="shared" si="35"/>
        <v>0.42890257973333457</v>
      </c>
      <c r="AB30" s="69">
        <f t="shared" si="20"/>
        <v>0.40318520703335015</v>
      </c>
      <c r="AC30" s="68">
        <f t="shared" si="21"/>
        <v>0.40318520703335015</v>
      </c>
      <c r="AD30" s="68">
        <f t="shared" si="22"/>
        <v>0.42890257973333457</v>
      </c>
      <c r="AE30" s="23">
        <f t="shared" si="23"/>
        <v>0.91920210137594582</v>
      </c>
      <c r="AF30" s="23">
        <f t="shared" si="24"/>
        <v>0.59108958017869817</v>
      </c>
      <c r="AG30" s="23">
        <f t="shared" si="25"/>
        <v>0.91920210137594582</v>
      </c>
      <c r="AH30" s="23">
        <f t="shared" si="26"/>
        <v>0.59108958017869817</v>
      </c>
      <c r="AI30" s="23">
        <f t="shared" si="27"/>
        <v>0.75514584077732205</v>
      </c>
      <c r="AJ30" s="23">
        <f t="shared" si="28"/>
        <v>0.75514584077732205</v>
      </c>
      <c r="AK30" s="295">
        <f t="shared" si="46"/>
        <v>3.6071491640024799E-4</v>
      </c>
      <c r="AL30" s="70">
        <f t="shared" si="29"/>
        <v>4.96</v>
      </c>
      <c r="AM30" s="191">
        <f t="shared" si="37"/>
        <v>2.5999999999999999E-2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2.9000000000000012E-2</v>
      </c>
      <c r="B31" s="64">
        <f t="shared" si="0"/>
        <v>0.11255920549065805</v>
      </c>
      <c r="C31" s="64">
        <f t="shared" si="1"/>
        <v>2.4525592054906578</v>
      </c>
      <c r="D31" s="183">
        <f t="shared" si="2"/>
        <v>-3.3828715942382828</v>
      </c>
      <c r="E31" s="64">
        <f t="shared" si="3"/>
        <v>5.474910000000001E-4</v>
      </c>
      <c r="F31" s="65">
        <f t="shared" si="4"/>
        <v>190615.446019361</v>
      </c>
      <c r="G31" s="65">
        <f t="shared" si="5"/>
        <v>5517.2413793103424</v>
      </c>
      <c r="H31" s="66">
        <f t="shared" si="6"/>
        <v>101.97126077834207</v>
      </c>
      <c r="I31" s="66">
        <f t="shared" si="7"/>
        <v>109.49180675925483</v>
      </c>
      <c r="J31" s="426">
        <f t="shared" si="8"/>
        <v>3.8956693442922901</v>
      </c>
      <c r="K31" s="253">
        <f t="shared" si="9"/>
        <v>0.27115741978822561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-3.4507150559265939E-2</v>
      </c>
      <c r="P31" s="64">
        <f t="shared" si="13"/>
        <v>2.5244450011980077E-4</v>
      </c>
      <c r="Q31" s="64">
        <f t="shared" si="14"/>
        <v>6.8527033168622789E-6</v>
      </c>
      <c r="R31" s="271">
        <f t="shared" si="44"/>
        <v>0.23936484446009831</v>
      </c>
      <c r="S31" s="64">
        <f t="shared" si="45"/>
        <v>0.49847935733866844</v>
      </c>
      <c r="T31" s="344">
        <f t="shared" si="33"/>
        <v>4.8960796042850321</v>
      </c>
      <c r="U31" s="279">
        <f t="shared" si="34"/>
        <v>5.1672370240732581</v>
      </c>
      <c r="V31" s="168">
        <f t="shared" si="15"/>
        <v>4.7835203987943737</v>
      </c>
      <c r="W31" s="184">
        <f t="shared" si="16"/>
        <v>6.3920395714967881E-2</v>
      </c>
      <c r="X31" s="457">
        <f t="shared" si="17"/>
        <v>-7.8084650840325098</v>
      </c>
      <c r="Y31" s="72">
        <f t="shared" si="18"/>
        <v>0.73879857818597505</v>
      </c>
      <c r="Z31" s="73">
        <f t="shared" si="19"/>
        <v>0.7038933539677612</v>
      </c>
      <c r="AA31" s="301">
        <f t="shared" si="35"/>
        <v>0.40778670793552241</v>
      </c>
      <c r="AB31" s="69">
        <f t="shared" si="20"/>
        <v>0.38310456200858489</v>
      </c>
      <c r="AC31" s="68">
        <f t="shared" si="21"/>
        <v>0.38310456200858489</v>
      </c>
      <c r="AD31" s="68">
        <f t="shared" si="22"/>
        <v>0.40778670793552241</v>
      </c>
      <c r="AE31" s="23">
        <f t="shared" si="23"/>
        <v>0.89930337809059635</v>
      </c>
      <c r="AF31" s="23">
        <f t="shared" si="24"/>
        <v>0.57829377828135375</v>
      </c>
      <c r="AG31" s="23">
        <f t="shared" si="25"/>
        <v>0.89930337809059635</v>
      </c>
      <c r="AH31" s="23">
        <f t="shared" si="26"/>
        <v>0.57829377828135375</v>
      </c>
      <c r="AI31" s="23">
        <f t="shared" si="27"/>
        <v>0.73879857818597505</v>
      </c>
      <c r="AJ31" s="23">
        <f t="shared" si="28"/>
        <v>0.73879857818597505</v>
      </c>
      <c r="AK31" s="295">
        <f t="shared" si="46"/>
        <v>3.5049389066799423E-4</v>
      </c>
      <c r="AL31" s="70">
        <f t="shared" si="29"/>
        <v>4.96</v>
      </c>
      <c r="AM31" s="191">
        <f t="shared" si="37"/>
        <v>2.5999999999999999E-2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3.0000000000000013E-2</v>
      </c>
      <c r="B32" s="64">
        <f t="shared" si="0"/>
        <v>0.11644055740412901</v>
      </c>
      <c r="C32" s="64">
        <f t="shared" si="1"/>
        <v>2.4564405574041288</v>
      </c>
      <c r="D32" s="183">
        <f t="shared" si="2"/>
        <v>-3.4995223388671892</v>
      </c>
      <c r="E32" s="64">
        <f t="shared" si="3"/>
        <v>5.6637000000000018E-4</v>
      </c>
      <c r="F32" s="65">
        <f t="shared" si="4"/>
        <v>184261.59781871561</v>
      </c>
      <c r="G32" s="65">
        <f t="shared" si="5"/>
        <v>5333.3333333333312</v>
      </c>
      <c r="H32" s="66">
        <f t="shared" si="6"/>
        <v>104.54464540880613</v>
      </c>
      <c r="I32" s="66">
        <f t="shared" si="7"/>
        <v>111.89236169790308</v>
      </c>
      <c r="J32" s="426">
        <f t="shared" si="8"/>
        <v>4.1249124271368736</v>
      </c>
      <c r="K32" s="253">
        <f t="shared" si="9"/>
        <v>0.27426725419771625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-3.5697052302688909E-2</v>
      </c>
      <c r="P32" s="64">
        <f t="shared" si="13"/>
        <v>2.701433561852983E-4</v>
      </c>
      <c r="Q32" s="64">
        <f t="shared" si="14"/>
        <v>7.8472734163304745E-6</v>
      </c>
      <c r="R32" s="271">
        <f t="shared" si="44"/>
        <v>0.2598423382737709</v>
      </c>
      <c r="S32" s="64">
        <f t="shared" si="45"/>
        <v>0.57871198587036399</v>
      </c>
      <c r="T32" s="344">
        <f t="shared" si="33"/>
        <v>5.2299151559585537</v>
      </c>
      <c r="U32" s="279">
        <f t="shared" si="34"/>
        <v>5.50418241015627</v>
      </c>
      <c r="V32" s="168">
        <f t="shared" si="15"/>
        <v>5.1134745985544248</v>
      </c>
      <c r="W32" s="184">
        <f t="shared" si="16"/>
        <v>-0.26991515595855375</v>
      </c>
      <c r="X32" s="457">
        <f t="shared" si="17"/>
        <v>-7.8729412385956019</v>
      </c>
      <c r="Y32" s="72">
        <f t="shared" si="18"/>
        <v>0.7229482864536495</v>
      </c>
      <c r="Z32" s="73">
        <f t="shared" si="19"/>
        <v>0.69340992727174733</v>
      </c>
      <c r="AA32" s="301">
        <f t="shared" si="35"/>
        <v>0.38681985454349466</v>
      </c>
      <c r="AB32" s="69">
        <f t="shared" si="20"/>
        <v>0.36314664137395902</v>
      </c>
      <c r="AC32" s="68">
        <f t="shared" si="21"/>
        <v>0.36314664137395902</v>
      </c>
      <c r="AD32" s="68">
        <f t="shared" si="22"/>
        <v>0.38681985454349466</v>
      </c>
      <c r="AE32" s="23">
        <f t="shared" si="23"/>
        <v>0.88000959312744553</v>
      </c>
      <c r="AF32" s="23">
        <f t="shared" si="24"/>
        <v>0.56588697977985358</v>
      </c>
      <c r="AG32" s="23">
        <f t="shared" si="25"/>
        <v>0.88000959312744553</v>
      </c>
      <c r="AH32" s="23">
        <f t="shared" si="26"/>
        <v>0.56588697977985358</v>
      </c>
      <c r="AI32" s="23">
        <f t="shared" si="27"/>
        <v>0.7229482864536495</v>
      </c>
      <c r="AJ32" s="23">
        <f t="shared" si="28"/>
        <v>0.7229482864536495</v>
      </c>
      <c r="AK32" s="295">
        <f t="shared" si="46"/>
        <v>3.4077902648161148E-4</v>
      </c>
      <c r="AL32" s="70">
        <f t="shared" si="29"/>
        <v>4.96</v>
      </c>
      <c r="AM32" s="191">
        <f t="shared" si="37"/>
        <v>2.5999999999999999E-2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3.1000000000000014E-2</v>
      </c>
      <c r="B33" s="52">
        <f t="shared" si="0"/>
        <v>0.12032190931759999</v>
      </c>
      <c r="C33" s="52">
        <f t="shared" si="1"/>
        <v>2.4603219093175999</v>
      </c>
      <c r="D33" s="180">
        <f t="shared" si="2"/>
        <v>-3.6161730834960952</v>
      </c>
      <c r="E33" s="52">
        <f t="shared" si="3"/>
        <v>5.8524900000000014E-4</v>
      </c>
      <c r="F33" s="53">
        <f t="shared" si="4"/>
        <v>178317.67530843447</v>
      </c>
      <c r="G33" s="53">
        <f t="shared" si="5"/>
        <v>5161.2903225806431</v>
      </c>
      <c r="H33" s="54">
        <f t="shared" si="6"/>
        <v>107.14029504600519</v>
      </c>
      <c r="I33" s="54">
        <f t="shared" si="7"/>
        <v>114.32130398673033</v>
      </c>
      <c r="J33" s="425">
        <f t="shared" si="8"/>
        <v>4.3647436185111008</v>
      </c>
      <c r="K33" s="252">
        <f t="shared" si="9"/>
        <v>0.27795463343883497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-3.6886954046111864E-2</v>
      </c>
      <c r="P33" s="52">
        <f t="shared" si="13"/>
        <v>2.8844061901920704E-4</v>
      </c>
      <c r="Q33" s="52">
        <f t="shared" si="14"/>
        <v>8.9462936703928102E-6</v>
      </c>
      <c r="R33" s="268">
        <f t="shared" si="44"/>
        <v>0.28384933919837929</v>
      </c>
      <c r="S33" s="52">
        <f t="shared" si="45"/>
        <v>0.67814349154391507</v>
      </c>
      <c r="T33" s="282">
        <f t="shared" si="33"/>
        <v>5.597067304864666</v>
      </c>
      <c r="U33" s="278">
        <f t="shared" si="34"/>
        <v>5.8750219383035009</v>
      </c>
      <c r="V33" s="181">
        <f t="shared" si="15"/>
        <v>5.4767453955470664</v>
      </c>
      <c r="W33" s="182">
        <f t="shared" si="16"/>
        <v>-0.63706730486466601</v>
      </c>
      <c r="X33" s="456">
        <f t="shared" si="17"/>
        <v>-7.9505464432907109</v>
      </c>
      <c r="Y33" s="59">
        <f t="shared" si="18"/>
        <v>0.70758807270200885</v>
      </c>
      <c r="Z33" s="60">
        <f t="shared" si="19"/>
        <v>0.68301877429399993</v>
      </c>
      <c r="AA33" s="300">
        <f t="shared" si="35"/>
        <v>0.36603754858799986</v>
      </c>
      <c r="AB33" s="56">
        <f t="shared" si="20"/>
        <v>0.34334456319691453</v>
      </c>
      <c r="AC33" s="55">
        <f t="shared" si="21"/>
        <v>0.34334456319691453</v>
      </c>
      <c r="AD33" s="55">
        <f t="shared" si="22"/>
        <v>0.36603754858799986</v>
      </c>
      <c r="AE33" s="61">
        <f t="shared" si="23"/>
        <v>0.86131235612279211</v>
      </c>
      <c r="AF33" s="61">
        <f t="shared" si="24"/>
        <v>0.55386378928122559</v>
      </c>
      <c r="AG33" s="61">
        <f t="shared" si="25"/>
        <v>0.86131235612279211</v>
      </c>
      <c r="AH33" s="61">
        <f t="shared" si="26"/>
        <v>0.55386378928122559</v>
      </c>
      <c r="AI33" s="61">
        <f t="shared" si="27"/>
        <v>0.70758807270200885</v>
      </c>
      <c r="AJ33" s="61">
        <f t="shared" si="28"/>
        <v>0.70758807270200885</v>
      </c>
      <c r="AK33" s="306">
        <f t="shared" si="46"/>
        <v>3.3153850036462504E-4</v>
      </c>
      <c r="AL33" s="57">
        <f t="shared" si="29"/>
        <v>4.96</v>
      </c>
      <c r="AM33" s="190">
        <f t="shared" si="37"/>
        <v>2.5999999999999999E-2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3.2000000000000015E-2</v>
      </c>
      <c r="B34" s="64">
        <f t="shared" si="0"/>
        <v>0.12420326123107096</v>
      </c>
      <c r="C34" s="64">
        <f t="shared" si="1"/>
        <v>2.4642032612310709</v>
      </c>
      <c r="D34" s="183">
        <f t="shared" si="2"/>
        <v>-3.7328238281250017</v>
      </c>
      <c r="E34" s="64">
        <f t="shared" si="3"/>
        <v>6.0412800000000011E-4</v>
      </c>
      <c r="F34" s="65">
        <f t="shared" si="4"/>
        <v>172745.2479550459</v>
      </c>
      <c r="G34" s="65">
        <f t="shared" si="5"/>
        <v>4999.9999999999982</v>
      </c>
      <c r="H34" s="66">
        <f t="shared" si="6"/>
        <v>109.75663005668839</v>
      </c>
      <c r="I34" s="66">
        <f t="shared" si="7"/>
        <v>116.77686228051391</v>
      </c>
      <c r="J34" s="426">
        <f t="shared" si="8"/>
        <v>4.6158856928693757</v>
      </c>
      <c r="K34" s="253">
        <f t="shared" si="9"/>
        <v>0.28231736889504599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-3.8076855789534833E-2</v>
      </c>
      <c r="P34" s="64">
        <f t="shared" si="13"/>
        <v>3.0733613331932483E-4</v>
      </c>
      <c r="Q34" s="64">
        <f t="shared" si="14"/>
        <v>1.0156818209365035E-5</v>
      </c>
      <c r="R34" s="271">
        <f t="shared" si="44"/>
        <v>0.31218133690444383</v>
      </c>
      <c r="S34" s="64">
        <f t="shared" si="45"/>
        <v>0.8038399510817178</v>
      </c>
      <c r="T34" s="344">
        <f t="shared" si="33"/>
        <v>6.0061203989048177</v>
      </c>
      <c r="U34" s="279">
        <f t="shared" si="34"/>
        <v>6.2884377677998646</v>
      </c>
      <c r="V34" s="168">
        <f t="shared" si="15"/>
        <v>5.8819171376737467</v>
      </c>
      <c r="W34" s="184">
        <f t="shared" si="16"/>
        <v>-1.0461203989048178</v>
      </c>
      <c r="X34" s="457">
        <f t="shared" si="17"/>
        <v>-8.0456092332036864</v>
      </c>
      <c r="Y34" s="72">
        <f t="shared" si="18"/>
        <v>0.69270906562326084</v>
      </c>
      <c r="Z34" s="73">
        <f t="shared" si="19"/>
        <v>0.67273543382243073</v>
      </c>
      <c r="AA34" s="301">
        <f t="shared" si="35"/>
        <v>0.34547086764486146</v>
      </c>
      <c r="AB34" s="69">
        <f t="shared" si="20"/>
        <v>0.32372757484753389</v>
      </c>
      <c r="AC34" s="68">
        <f t="shared" si="21"/>
        <v>0.32372757484753389</v>
      </c>
      <c r="AD34" s="68">
        <f t="shared" si="22"/>
        <v>0.34547086764486146</v>
      </c>
      <c r="AE34" s="23">
        <f t="shared" si="23"/>
        <v>0.84320086846751441</v>
      </c>
      <c r="AF34" s="23">
        <f t="shared" si="24"/>
        <v>0.54221726277900717</v>
      </c>
      <c r="AG34" s="23">
        <f t="shared" si="25"/>
        <v>0.84320086846751441</v>
      </c>
      <c r="AH34" s="23">
        <f t="shared" si="26"/>
        <v>0.54221726277900717</v>
      </c>
      <c r="AI34" s="23">
        <f t="shared" si="27"/>
        <v>0.69270906562326084</v>
      </c>
      <c r="AJ34" s="23">
        <f t="shared" si="28"/>
        <v>0.69270906562326084</v>
      </c>
      <c r="AK34" s="295">
        <f t="shared" si="46"/>
        <v>3.2274252139160995E-4</v>
      </c>
      <c r="AL34" s="70">
        <f t="shared" si="29"/>
        <v>4.96</v>
      </c>
      <c r="AM34" s="191">
        <f t="shared" si="37"/>
        <v>2.5999999999999999E-2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3.3000000000000015E-2</v>
      </c>
      <c r="B35" s="64">
        <f t="shared" si="0"/>
        <v>0.12808461314454192</v>
      </c>
      <c r="C35" s="64">
        <f t="shared" si="1"/>
        <v>2.468084613144542</v>
      </c>
      <c r="D35" s="183">
        <f t="shared" si="2"/>
        <v>-3.8494745727539081</v>
      </c>
      <c r="E35" s="64">
        <f t="shared" si="3"/>
        <v>6.2300700000000018E-4</v>
      </c>
      <c r="F35" s="65">
        <f t="shared" si="4"/>
        <v>167510.54347155965</v>
      </c>
      <c r="G35" s="65">
        <f t="shared" si="5"/>
        <v>4848.4848484848462</v>
      </c>
      <c r="H35" s="66">
        <f t="shared" si="6"/>
        <v>112.3922058695359</v>
      </c>
      <c r="I35" s="66">
        <f t="shared" si="7"/>
        <v>119.25739248743241</v>
      </c>
      <c r="J35" s="426">
        <f t="shared" si="8"/>
        <v>4.8792062031357766</v>
      </c>
      <c r="K35" s="253">
        <f t="shared" si="9"/>
        <v>0.28747069277634019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-3.9266757532957795E-2</v>
      </c>
      <c r="P35" s="64">
        <f t="shared" si="13"/>
        <v>3.2682973871514407E-4</v>
      </c>
      <c r="Q35" s="64">
        <f t="shared" si="14"/>
        <v>1.148612927201965E-5</v>
      </c>
      <c r="R35" s="271">
        <f t="shared" si="44"/>
        <v>0.34588517076249387</v>
      </c>
      <c r="S35" s="64">
        <f t="shared" si="45"/>
        <v>0.96685376286058056</v>
      </c>
      <c r="T35" s="344">
        <f t="shared" si="33"/>
        <v>6.4700412360326647</v>
      </c>
      <c r="U35" s="279">
        <f t="shared" si="34"/>
        <v>6.7575119288090049</v>
      </c>
      <c r="V35" s="168">
        <f t="shared" si="15"/>
        <v>6.341956622888123</v>
      </c>
      <c r="W35" s="184">
        <f t="shared" si="16"/>
        <v>-1.5100412360326647</v>
      </c>
      <c r="X35" s="457">
        <f t="shared" si="17"/>
        <v>-8.1647026541757022</v>
      </c>
      <c r="Y35" s="72">
        <f t="shared" si="18"/>
        <v>0.67830085388858052</v>
      </c>
      <c r="Z35" s="73">
        <f t="shared" si="19"/>
        <v>0.66257336088948082</v>
      </c>
      <c r="AA35" s="301">
        <f t="shared" si="35"/>
        <v>0.32514672177896164</v>
      </c>
      <c r="AB35" s="69">
        <f t="shared" si="20"/>
        <v>0.30432127192048775</v>
      </c>
      <c r="AC35" s="68">
        <f t="shared" si="21"/>
        <v>0.30432127192048775</v>
      </c>
      <c r="AD35" s="68">
        <f t="shared" si="22"/>
        <v>0.32514672177896164</v>
      </c>
      <c r="AE35" s="23">
        <f t="shared" si="23"/>
        <v>0.82566245696020257</v>
      </c>
      <c r="AF35" s="23">
        <f t="shared" si="24"/>
        <v>0.53093925081695859</v>
      </c>
      <c r="AG35" s="23">
        <f t="shared" si="25"/>
        <v>0.82566245696020257</v>
      </c>
      <c r="AH35" s="23">
        <f t="shared" si="26"/>
        <v>0.53093925081695859</v>
      </c>
      <c r="AI35" s="23">
        <f t="shared" si="27"/>
        <v>0.67830085388858052</v>
      </c>
      <c r="AJ35" s="23">
        <f t="shared" si="28"/>
        <v>0.67830085388858052</v>
      </c>
      <c r="AK35" s="295">
        <f t="shared" si="46"/>
        <v>3.1436326633297305E-4</v>
      </c>
      <c r="AL35" s="70">
        <f t="shared" si="29"/>
        <v>4.96</v>
      </c>
      <c r="AM35" s="191">
        <f t="shared" si="37"/>
        <v>2.5999999999999999E-2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3.4000000000000016E-2</v>
      </c>
      <c r="B36" s="64">
        <f t="shared" si="0"/>
        <v>0.13196596505801289</v>
      </c>
      <c r="C36" s="64">
        <f t="shared" si="1"/>
        <v>2.4719659650580126</v>
      </c>
      <c r="D36" s="183">
        <f t="shared" si="2"/>
        <v>-3.9661253173828146</v>
      </c>
      <c r="E36" s="64">
        <f t="shared" si="3"/>
        <v>6.4188600000000015E-4</v>
      </c>
      <c r="F36" s="65">
        <f t="shared" si="4"/>
        <v>162583.76278121964</v>
      </c>
      <c r="G36" s="65">
        <f t="shared" si="5"/>
        <v>4705.8823529411738</v>
      </c>
      <c r="H36" s="66">
        <f t="shared" si="6"/>
        <v>115.04570013261339</v>
      </c>
      <c r="I36" s="66">
        <f t="shared" si="7"/>
        <v>121.76136842892559</v>
      </c>
      <c r="J36" s="426">
        <f t="shared" si="8"/>
        <v>5.1557465485703737</v>
      </c>
      <c r="K36" s="253">
        <f t="shared" si="9"/>
        <v>0.29355267239251681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-4.0456659276380758E-2</v>
      </c>
      <c r="P36" s="64">
        <f t="shared" si="13"/>
        <v>3.4692126976999474E-4</v>
      </c>
      <c r="Q36" s="64">
        <f t="shared" si="14"/>
        <v>1.2941736896680091E-5</v>
      </c>
      <c r="R36" s="271">
        <f t="shared" si="44"/>
        <v>0.38636281719101917</v>
      </c>
      <c r="S36" s="64">
        <f t="shared" si="45"/>
        <v>1.1856251664089852</v>
      </c>
      <c r="T36" s="344">
        <f t="shared" si="33"/>
        <v>7.0097134389652878</v>
      </c>
      <c r="U36" s="279">
        <f t="shared" si="34"/>
        <v>7.3032661113578046</v>
      </c>
      <c r="V36" s="168">
        <f t="shared" si="15"/>
        <v>6.8777474739072746</v>
      </c>
      <c r="W36" s="184">
        <f t="shared" si="16"/>
        <v>-2.0497134389652878</v>
      </c>
      <c r="X36" s="457">
        <f t="shared" si="17"/>
        <v>-8.3184488098995253</v>
      </c>
      <c r="Y36" s="72">
        <f t="shared" si="18"/>
        <v>0.66435185642619821</v>
      </c>
      <c r="Z36" s="73">
        <f t="shared" si="19"/>
        <v>0.65254407700429351</v>
      </c>
      <c r="AA36" s="301">
        <f t="shared" si="35"/>
        <v>0.30508815400858702</v>
      </c>
      <c r="AB36" s="69">
        <f t="shared" si="20"/>
        <v>0.28514783458889337</v>
      </c>
      <c r="AC36" s="68">
        <f t="shared" si="21"/>
        <v>0.28514783458889337</v>
      </c>
      <c r="AD36" s="68">
        <f t="shared" si="22"/>
        <v>0.30508815400858702</v>
      </c>
      <c r="AE36" s="23">
        <f t="shared" si="23"/>
        <v>0.80868302452856644</v>
      </c>
      <c r="AF36" s="23">
        <f t="shared" si="24"/>
        <v>0.52002068832382997</v>
      </c>
      <c r="AG36" s="23">
        <f t="shared" si="25"/>
        <v>0.80868302452856644</v>
      </c>
      <c r="AH36" s="23">
        <f t="shared" si="26"/>
        <v>0.52002068832382997</v>
      </c>
      <c r="AI36" s="23">
        <f t="shared" si="27"/>
        <v>0.66435185642619821</v>
      </c>
      <c r="AJ36" s="23">
        <f t="shared" si="28"/>
        <v>0.66435185642619821</v>
      </c>
      <c r="AK36" s="295">
        <f t="shared" si="46"/>
        <v>3.0637479425019224E-4</v>
      </c>
      <c r="AL36" s="70">
        <f t="shared" si="29"/>
        <v>4.96</v>
      </c>
      <c r="AM36" s="191">
        <f t="shared" si="37"/>
        <v>2.5999999999999999E-2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3.5000000000000017E-2</v>
      </c>
      <c r="B37" s="64">
        <f t="shared" si="0"/>
        <v>0.13584731697148386</v>
      </c>
      <c r="C37" s="64">
        <f t="shared" si="1"/>
        <v>2.4758473169714836</v>
      </c>
      <c r="D37" s="183">
        <f t="shared" si="2"/>
        <v>-4.0827760620117211</v>
      </c>
      <c r="E37" s="64">
        <f t="shared" si="3"/>
        <v>6.6076500000000022E-4</v>
      </c>
      <c r="F37" s="65">
        <f t="shared" si="4"/>
        <v>157938.51241604195</v>
      </c>
      <c r="G37" s="65">
        <f t="shared" si="5"/>
        <v>4571.4285714285688</v>
      </c>
      <c r="H37" s="66">
        <f t="shared" si="6"/>
        <v>117.71590112533622</v>
      </c>
      <c r="I37" s="66">
        <f t="shared" si="7"/>
        <v>124.28737305306316</v>
      </c>
      <c r="J37" s="426">
        <f t="shared" si="8"/>
        <v>5.4467593187897156</v>
      </c>
      <c r="K37" s="253">
        <f t="shared" si="9"/>
        <v>0.30073155049480693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-4.1646561019803727E-2</v>
      </c>
      <c r="P37" s="64">
        <f t="shared" si="13"/>
        <v>3.676105559833995E-4</v>
      </c>
      <c r="Q37" s="64">
        <f t="shared" si="14"/>
        <v>1.4531378608238651E-5</v>
      </c>
      <c r="R37" s="271">
        <f t="shared" si="44"/>
        <v>0.43553077993036954</v>
      </c>
      <c r="S37" s="64">
        <f t="shared" si="45"/>
        <v>1.49382523921274</v>
      </c>
      <c r="T37" s="344">
        <f t="shared" si="33"/>
        <v>7.6619771862829165</v>
      </c>
      <c r="U37" s="279">
        <f t="shared" si="34"/>
        <v>7.9627087367777243</v>
      </c>
      <c r="V37" s="168">
        <f t="shared" si="15"/>
        <v>7.5261298693114327</v>
      </c>
      <c r="W37" s="184">
        <f t="shared" si="16"/>
        <v>-2.7019771862829165</v>
      </c>
      <c r="X37" s="457">
        <f t="shared" si="17"/>
        <v>-8.5255997505959336</v>
      </c>
      <c r="Y37" s="72">
        <f t="shared" si="18"/>
        <v>0.65084963314990052</v>
      </c>
      <c r="Z37" s="73">
        <f t="shared" si="19"/>
        <v>0.64265732376846052</v>
      </c>
      <c r="AA37" s="301">
        <f t="shared" si="35"/>
        <v>0.28531464753692104</v>
      </c>
      <c r="AB37" s="69">
        <f t="shared" si="20"/>
        <v>0.2662262734390306</v>
      </c>
      <c r="AC37" s="68">
        <f t="shared" si="21"/>
        <v>0.2662262734390306</v>
      </c>
      <c r="AD37" s="68">
        <f t="shared" si="22"/>
        <v>0.28531464753692104</v>
      </c>
      <c r="AE37" s="23">
        <f t="shared" si="23"/>
        <v>0.79224742846404428</v>
      </c>
      <c r="AF37" s="23">
        <f t="shared" si="24"/>
        <v>0.50945183783575676</v>
      </c>
      <c r="AG37" s="23">
        <f t="shared" si="25"/>
        <v>0.79224742846404428</v>
      </c>
      <c r="AH37" s="23">
        <f t="shared" si="26"/>
        <v>0.50945183783575676</v>
      </c>
      <c r="AI37" s="23">
        <f t="shared" si="27"/>
        <v>0.65084963314990052</v>
      </c>
      <c r="AJ37" s="23">
        <f t="shared" si="28"/>
        <v>0.65084963314990052</v>
      </c>
      <c r="AK37" s="295">
        <f t="shared" si="46"/>
        <v>2.9875294882776235E-4</v>
      </c>
      <c r="AL37" s="70">
        <f t="shared" si="29"/>
        <v>4.96</v>
      </c>
      <c r="AM37" s="191">
        <f t="shared" si="37"/>
        <v>2.5999999999999999E-2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3.6000000000000018E-2</v>
      </c>
      <c r="B38" s="76">
        <f t="shared" si="0"/>
        <v>0.13972866888495483</v>
      </c>
      <c r="C38" s="76">
        <f t="shared" si="1"/>
        <v>2.4797286688849547</v>
      </c>
      <c r="D38" s="185">
        <f t="shared" si="2"/>
        <v>-4.1994268066406271</v>
      </c>
      <c r="E38" s="76">
        <f t="shared" si="3"/>
        <v>6.7964400000000019E-4</v>
      </c>
      <c r="F38" s="77">
        <f t="shared" si="4"/>
        <v>153551.33151559634</v>
      </c>
      <c r="G38" s="77">
        <f t="shared" si="5"/>
        <v>4444.4444444444425</v>
      </c>
      <c r="H38" s="78">
        <f t="shared" si="6"/>
        <v>120.40169731552929</v>
      </c>
      <c r="I38" s="78">
        <f t="shared" si="7"/>
        <v>126.83409020898794</v>
      </c>
      <c r="J38" s="427">
        <f t="shared" si="8"/>
        <v>5.7537569862000781</v>
      </c>
      <c r="K38" s="254">
        <f t="shared" si="9"/>
        <v>0.30921586437602411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-4.2836462763226689E-2</v>
      </c>
      <c r="P38" s="76">
        <f t="shared" si="13"/>
        <v>3.8889742179349962E-4</v>
      </c>
      <c r="Q38" s="76">
        <f t="shared" si="14"/>
        <v>1.6263019096262948E-5</v>
      </c>
      <c r="R38" s="257">
        <f>10*LOG10(1/SQRT(1-AK38*(Q/AA38)^2))</f>
        <v>0.49607329003918221</v>
      </c>
      <c r="S38" s="76">
        <f>-10*LOG10(AA38*SQRT(1-Q*Q*((SD_blw^2+AK38)/AA38^2+Vmn+(P38*P38))))-$T$13-J38-L38-Q38-N38-R38-Pmn</f>
        <v>1.9619356914032182</v>
      </c>
      <c r="T38" s="283">
        <f t="shared" si="33"/>
        <v>8.5015108995465294</v>
      </c>
      <c r="U38" s="280">
        <f t="shared" si="34"/>
        <v>8.8107267639225526</v>
      </c>
      <c r="V38" s="186">
        <f t="shared" si="15"/>
        <v>8.361782230661575</v>
      </c>
      <c r="W38" s="187">
        <f t="shared" si="16"/>
        <v>-3.5415108995465294</v>
      </c>
      <c r="X38" s="458">
        <f t="shared" si="17"/>
        <v>-8.8240805703539458</v>
      </c>
      <c r="Y38" s="80">
        <f t="shared" si="18"/>
        <v>0.63778114403992203</v>
      </c>
      <c r="Z38" s="83">
        <f t="shared" si="19"/>
        <v>0.63292121601385887</v>
      </c>
      <c r="AA38" s="300">
        <f t="shared" si="35"/>
        <v>0.26584243202771773</v>
      </c>
      <c r="AB38" s="79">
        <f t="shared" si="20"/>
        <v>0.24757267827193541</v>
      </c>
      <c r="AC38" s="80">
        <f t="shared" si="21"/>
        <v>0.24757267827193541</v>
      </c>
      <c r="AD38" s="80">
        <f t="shared" si="22"/>
        <v>0.26584243202771773</v>
      </c>
      <c r="AE38" s="84">
        <f t="shared" si="23"/>
        <v>0.77633979578830103</v>
      </c>
      <c r="AF38" s="84">
        <f t="shared" si="24"/>
        <v>0.49922249229154292</v>
      </c>
      <c r="AG38" s="84">
        <f t="shared" si="25"/>
        <v>0.77633979578830103</v>
      </c>
      <c r="AH38" s="84">
        <f t="shared" si="26"/>
        <v>0.49922249229154292</v>
      </c>
      <c r="AI38" s="84">
        <f t="shared" si="27"/>
        <v>0.63778114403992203</v>
      </c>
      <c r="AJ38" s="84">
        <f t="shared" si="28"/>
        <v>0.63778114403992203</v>
      </c>
      <c r="AK38" s="387">
        <f t="shared" si="46"/>
        <v>2.9147525441105458E-4</v>
      </c>
      <c r="AL38" s="81">
        <f t="shared" si="29"/>
        <v>4.96</v>
      </c>
      <c r="AM38" s="194">
        <f t="shared" si="37"/>
        <v>2.5999999999999999E-2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0.91729450270910373</v>
      </c>
      <c r="AP39" s="355">
        <f>SUM(AP18:AP38)</f>
        <v>102.4802988403281</v>
      </c>
      <c r="AQ39" s="356">
        <f>SUM(AQ18:AQ38)</f>
        <v>0.77708692298369075</v>
      </c>
      <c r="AR39" s="356">
        <f>SUM(AR18:AR38)</f>
        <v>0.77708692298369075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-0.73615213176410721</v>
      </c>
      <c r="AC41" s="294">
        <f t="shared" ref="AC41:AC71" si="50">MAX(MIN(B_1*Tb_eff*(1-$AA41)/(SQRT(2)*$AG$9),10),-10)</f>
        <v>3.0754332546419283</v>
      </c>
      <c r="AD41" s="315">
        <f t="shared" ref="AD41:AD71" si="51">(ERF(AB41)+1)/2</f>
        <v>0.14892006232977684</v>
      </c>
      <c r="AE41" s="315">
        <f t="shared" ref="AE41:AE71" si="52">(ERF(AC41)+1)/2</f>
        <v>0.99999317196590376</v>
      </c>
      <c r="AF41" s="316">
        <f t="shared" ref="AF41:AF71" si="53">AD41+AE41-1</f>
        <v>0.14891323429568049</v>
      </c>
      <c r="AG41" s="316">
        <f t="shared" ref="AG41:AG71" si="54">1-AD41</f>
        <v>0.85107993767022316</v>
      </c>
      <c r="AH41" s="316">
        <f t="shared" ref="AH41:AH71" si="55">1-AE41</f>
        <v>6.8280340962401098E-6</v>
      </c>
      <c r="AI41" s="316">
        <f t="shared" ref="AI41:AI71" si="56">1-AF41</f>
        <v>0.85108676570431951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-0.49680097962776842</v>
      </c>
      <c r="AQ41" s="294">
        <f t="shared" ref="AQ41:AQ69" si="62">MAX(MIN(B_1*Tb_eff*(1-$AA41)/(SQRT(2)*$AP$39),10),-10)</f>
        <v>2.0754925344365094</v>
      </c>
      <c r="AR41" s="315">
        <f t="shared" ref="AR41:AR69" si="63">(ERF(AP41)+1)/2</f>
        <v>0.24115792867902552</v>
      </c>
      <c r="AS41" s="315">
        <f t="shared" ref="AS41:AS69" si="64">(ERF(AQ41)+1)/2</f>
        <v>0.99833328080910844</v>
      </c>
      <c r="AT41" s="316">
        <f t="shared" ref="AT41:AT69" si="65">AR41+AS41-1</f>
        <v>0.23949120948813407</v>
      </c>
      <c r="AU41" s="316">
        <f t="shared" ref="AU41:AU69" si="66">1-AR41</f>
        <v>0.75884207132097448</v>
      </c>
      <c r="AV41" s="316">
        <f t="shared" ref="AV41:AV69" si="67">1-AS41</f>
        <v>1.6667191908915635E-3</v>
      </c>
      <c r="AW41" s="338">
        <f t="shared" ref="AW41:AW69" si="68">1-AT41</f>
        <v>0.76050879051186593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48"/>
        <v>-0.26037883159645603</v>
      </c>
      <c r="AB42" s="294">
        <f t="shared" si="49"/>
        <v>-0.60909928555057269</v>
      </c>
      <c r="AC42" s="294">
        <f t="shared" si="50"/>
        <v>2.9483804084283931</v>
      </c>
      <c r="AD42" s="315">
        <f t="shared" si="51"/>
        <v>0.19450985966591006</v>
      </c>
      <c r="AE42" s="315">
        <f t="shared" si="52"/>
        <v>0.99998474591250264</v>
      </c>
      <c r="AF42" s="316">
        <f t="shared" si="53"/>
        <v>0.19449460557841269</v>
      </c>
      <c r="AG42" s="316">
        <f t="shared" si="54"/>
        <v>0.80549014033408994</v>
      </c>
      <c r="AH42" s="316">
        <f t="shared" si="55"/>
        <v>1.5254087497362789E-5</v>
      </c>
      <c r="AI42" s="316">
        <f t="shared" si="56"/>
        <v>0.80550539442158731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-0.41105786249229248</v>
      </c>
      <c r="AQ42" s="294">
        <f t="shared" si="62"/>
        <v>1.9897494173010333</v>
      </c>
      <c r="AR42" s="315">
        <f t="shared" si="63"/>
        <v>0.2805111875508095</v>
      </c>
      <c r="AS42" s="315">
        <f t="shared" si="64"/>
        <v>0.99755301045544531</v>
      </c>
      <c r="AT42" s="316">
        <f t="shared" si="65"/>
        <v>0.27806419800625481</v>
      </c>
      <c r="AU42" s="316">
        <f t="shared" si="66"/>
        <v>0.7194888124491905</v>
      </c>
      <c r="AV42" s="316">
        <f t="shared" si="67"/>
        <v>2.4469895445546896E-3</v>
      </c>
      <c r="AW42" s="338">
        <f t="shared" si="68"/>
        <v>0.72193580199374519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48"/>
        <v>-0.20606605791099497</v>
      </c>
      <c r="AB43" s="294">
        <f t="shared" si="49"/>
        <v>-0.48204643933703833</v>
      </c>
      <c r="AC43" s="294">
        <f t="shared" si="50"/>
        <v>2.8213275622148593</v>
      </c>
      <c r="AD43" s="315">
        <f t="shared" si="51"/>
        <v>0.24770908054141066</v>
      </c>
      <c r="AE43" s="315">
        <f t="shared" si="52"/>
        <v>0.99996695773906641</v>
      </c>
      <c r="AF43" s="316">
        <f t="shared" si="53"/>
        <v>0.24767603828047702</v>
      </c>
      <c r="AG43" s="316">
        <f t="shared" si="54"/>
        <v>0.75229091945858939</v>
      </c>
      <c r="AH43" s="316">
        <f t="shared" si="55"/>
        <v>3.3042260933591194E-5</v>
      </c>
      <c r="AI43" s="316">
        <f t="shared" si="56"/>
        <v>0.75232396171952298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-0.3253147453568167</v>
      </c>
      <c r="AQ43" s="294">
        <f t="shared" si="62"/>
        <v>1.9040063001655576</v>
      </c>
      <c r="AR43" s="315">
        <f t="shared" si="63"/>
        <v>0.32273495322543727</v>
      </c>
      <c r="AS43" s="315">
        <f t="shared" si="64"/>
        <v>0.99645589684474145</v>
      </c>
      <c r="AT43" s="316">
        <f t="shared" si="65"/>
        <v>0.31919085007017878</v>
      </c>
      <c r="AU43" s="316">
        <f t="shared" si="66"/>
        <v>0.67726504677456267</v>
      </c>
      <c r="AV43" s="316">
        <f t="shared" si="67"/>
        <v>3.5441031552585489E-3</v>
      </c>
      <c r="AW43" s="338">
        <f t="shared" si="68"/>
        <v>0.68080914992982122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9"/>
        <v>-0.10000000000000002</v>
      </c>
      <c r="AA44" s="294">
        <f t="shared" si="48"/>
        <v>-0.15175328422553369</v>
      </c>
      <c r="AB44" s="294">
        <f t="shared" si="49"/>
        <v>-0.35499359312350354</v>
      </c>
      <c r="AC44" s="294">
        <f t="shared" si="50"/>
        <v>2.6942747160013241</v>
      </c>
      <c r="AD44" s="315">
        <f t="shared" si="51"/>
        <v>0.30782083377625691</v>
      </c>
      <c r="AE44" s="315">
        <f t="shared" si="52"/>
        <v>0.99993059521156713</v>
      </c>
      <c r="AF44" s="316">
        <f t="shared" si="53"/>
        <v>0.30775142898782404</v>
      </c>
      <c r="AG44" s="316">
        <f t="shared" si="54"/>
        <v>0.69217916622374309</v>
      </c>
      <c r="AH44" s="316">
        <f t="shared" si="55"/>
        <v>6.940478843286968E-5</v>
      </c>
      <c r="AI44" s="316">
        <f t="shared" si="56"/>
        <v>0.69224857101217596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-0.23957162822134057</v>
      </c>
      <c r="AQ44" s="294">
        <f t="shared" si="62"/>
        <v>1.8182631830300813</v>
      </c>
      <c r="AR44" s="315">
        <f t="shared" si="63"/>
        <v>0.36737814926263734</v>
      </c>
      <c r="AS44" s="315">
        <f t="shared" si="64"/>
        <v>0.99493576900330249</v>
      </c>
      <c r="AT44" s="316">
        <f t="shared" si="65"/>
        <v>0.36231391826593984</v>
      </c>
      <c r="AU44" s="316">
        <f t="shared" si="66"/>
        <v>0.63262185073736266</v>
      </c>
      <c r="AV44" s="316">
        <f t="shared" si="67"/>
        <v>5.0642309966975052E-3</v>
      </c>
      <c r="AW44" s="338">
        <f t="shared" si="68"/>
        <v>0.63768608173406016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48"/>
        <v>-9.7440510540072633E-2</v>
      </c>
      <c r="AB45" s="294">
        <f t="shared" si="49"/>
        <v>-0.22794074690996921</v>
      </c>
      <c r="AC45" s="294">
        <f t="shared" si="50"/>
        <v>2.5672218697877898</v>
      </c>
      <c r="AD45" s="315">
        <f t="shared" si="51"/>
        <v>0.37359116748203003</v>
      </c>
      <c r="AE45" s="315">
        <f t="shared" si="52"/>
        <v>0.99985861843167001</v>
      </c>
      <c r="AF45" s="316">
        <f t="shared" si="53"/>
        <v>0.37344978591370004</v>
      </c>
      <c r="AG45" s="316">
        <f t="shared" si="54"/>
        <v>0.62640883251796997</v>
      </c>
      <c r="AH45" s="316">
        <f t="shared" si="55"/>
        <v>1.4138156832999016E-4</v>
      </c>
      <c r="AI45" s="316">
        <f t="shared" si="56"/>
        <v>0.62655021408629996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-0.15382851108586476</v>
      </c>
      <c r="AQ45" s="294">
        <f t="shared" si="62"/>
        <v>1.7325200658946056</v>
      </c>
      <c r="AR45" s="315">
        <f t="shared" si="63"/>
        <v>0.41389128836229638</v>
      </c>
      <c r="AS45" s="315">
        <f t="shared" si="64"/>
        <v>0.9928602312329271</v>
      </c>
      <c r="AT45" s="316">
        <f t="shared" si="65"/>
        <v>0.4067515195952236</v>
      </c>
      <c r="AU45" s="316">
        <f t="shared" si="66"/>
        <v>0.58610871163770362</v>
      </c>
      <c r="AV45" s="316">
        <f t="shared" si="67"/>
        <v>7.139768767072896E-3</v>
      </c>
      <c r="AW45" s="338">
        <f t="shared" si="68"/>
        <v>0.5932484804047764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48"/>
        <v>-4.3127736854611465E-2</v>
      </c>
      <c r="AB46" s="294">
        <f t="shared" si="49"/>
        <v>-0.10088790069643466</v>
      </c>
      <c r="AC46" s="294">
        <f t="shared" si="50"/>
        <v>2.4401690235742555</v>
      </c>
      <c r="AD46" s="315">
        <f t="shared" si="51"/>
        <v>0.44327262631003017</v>
      </c>
      <c r="AE46" s="315">
        <f t="shared" si="52"/>
        <v>0.99972066055959874</v>
      </c>
      <c r="AF46" s="316">
        <f t="shared" si="53"/>
        <v>0.44299328686962891</v>
      </c>
      <c r="AG46" s="316">
        <f t="shared" si="54"/>
        <v>0.55672737368996983</v>
      </c>
      <c r="AH46" s="316">
        <f t="shared" si="55"/>
        <v>2.7933944040126057E-4</v>
      </c>
      <c r="AI46" s="316">
        <f t="shared" si="56"/>
        <v>0.55700671313037109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-6.8085393950388803E-2</v>
      </c>
      <c r="AQ46" s="294">
        <f t="shared" si="62"/>
        <v>1.6467769487591297</v>
      </c>
      <c r="AR46" s="315">
        <f t="shared" si="63"/>
        <v>0.46164620362977132</v>
      </c>
      <c r="AS46" s="315">
        <f t="shared" si="64"/>
        <v>0.99006766688147774</v>
      </c>
      <c r="AT46" s="316">
        <f t="shared" si="65"/>
        <v>0.45171387051124912</v>
      </c>
      <c r="AU46" s="316">
        <f t="shared" si="66"/>
        <v>0.53835379637022873</v>
      </c>
      <c r="AV46" s="316">
        <f t="shared" si="67"/>
        <v>9.932333118522263E-3</v>
      </c>
      <c r="AW46" s="338">
        <f t="shared" si="68"/>
        <v>0.54828612948875088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48"/>
        <v>1.1185036830849648E-2</v>
      </c>
      <c r="AB47" s="294">
        <f t="shared" si="49"/>
        <v>2.6164945517099743E-2</v>
      </c>
      <c r="AC47" s="294">
        <f t="shared" si="50"/>
        <v>2.3131161773607207</v>
      </c>
      <c r="AD47" s="315">
        <f t="shared" si="51"/>
        <v>0.51475862169902353</v>
      </c>
      <c r="AE47" s="315">
        <f t="shared" si="52"/>
        <v>0.99946461552361254</v>
      </c>
      <c r="AF47" s="316">
        <f t="shared" si="53"/>
        <v>0.51422323722263608</v>
      </c>
      <c r="AG47" s="316">
        <f t="shared" si="54"/>
        <v>0.48524137830097647</v>
      </c>
      <c r="AH47" s="316">
        <f t="shared" si="55"/>
        <v>5.3538447638745712E-4</v>
      </c>
      <c r="AI47" s="316">
        <f t="shared" si="56"/>
        <v>0.48577676277736392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1.7657723185087064E-2</v>
      </c>
      <c r="AQ47" s="294">
        <f t="shared" si="62"/>
        <v>1.5610338316236536</v>
      </c>
      <c r="AR47" s="315">
        <f t="shared" si="63"/>
        <v>0.50996126818760823</v>
      </c>
      <c r="AS47" s="315">
        <f t="shared" si="64"/>
        <v>0.98636514390083807</v>
      </c>
      <c r="AT47" s="316">
        <f t="shared" si="65"/>
        <v>0.4963264120884463</v>
      </c>
      <c r="AU47" s="316">
        <f t="shared" si="66"/>
        <v>0.49003873181239177</v>
      </c>
      <c r="AV47" s="316">
        <f t="shared" si="67"/>
        <v>1.3634856099161929E-2</v>
      </c>
      <c r="AW47" s="338">
        <f t="shared" si="68"/>
        <v>0.5036735879115537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48"/>
        <v>6.5497810516310817E-2</v>
      </c>
      <c r="AB48" s="294">
        <f t="shared" si="49"/>
        <v>0.1532177917306343</v>
      </c>
      <c r="AC48" s="294">
        <f t="shared" si="50"/>
        <v>2.186063331147186</v>
      </c>
      <c r="AD48" s="315">
        <f t="shared" si="51"/>
        <v>0.58577217628531064</v>
      </c>
      <c r="AE48" s="315">
        <f t="shared" si="52"/>
        <v>0.99900446268364318</v>
      </c>
      <c r="AF48" s="316">
        <f t="shared" si="53"/>
        <v>0.58477663896895393</v>
      </c>
      <c r="AG48" s="316">
        <f t="shared" si="54"/>
        <v>0.41422782371468936</v>
      </c>
      <c r="AH48" s="316">
        <f t="shared" si="55"/>
        <v>9.9553731635682041E-4</v>
      </c>
      <c r="AI48" s="316">
        <f t="shared" si="56"/>
        <v>0.41522336103104607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0.10340084032056303</v>
      </c>
      <c r="AQ48" s="294">
        <f t="shared" si="62"/>
        <v>1.4752907144881777</v>
      </c>
      <c r="AR48" s="315">
        <f t="shared" si="63"/>
        <v>0.55813043191725931</v>
      </c>
      <c r="AS48" s="315">
        <f t="shared" si="64"/>
        <v>0.98152771757945045</v>
      </c>
      <c r="AT48" s="316">
        <f t="shared" si="65"/>
        <v>0.53965814949670987</v>
      </c>
      <c r="AU48" s="316">
        <f t="shared" si="66"/>
        <v>0.44186956808274069</v>
      </c>
      <c r="AV48" s="316">
        <f t="shared" si="67"/>
        <v>1.8472282420549546E-2</v>
      </c>
      <c r="AW48" s="338">
        <f t="shared" si="68"/>
        <v>0.46034185050329013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48"/>
        <v>0.11981058420177199</v>
      </c>
      <c r="AB49" s="294">
        <f t="shared" si="49"/>
        <v>0.28027063794416884</v>
      </c>
      <c r="AC49" s="294">
        <f t="shared" si="50"/>
        <v>2.0590104849336517</v>
      </c>
      <c r="AD49" s="315">
        <f t="shared" si="51"/>
        <v>0.65408120067523068</v>
      </c>
      <c r="AE49" s="315">
        <f t="shared" si="52"/>
        <v>0.99820370005737891</v>
      </c>
      <c r="AF49" s="316">
        <f t="shared" si="53"/>
        <v>0.6522849007326097</v>
      </c>
      <c r="AG49" s="316">
        <f t="shared" si="54"/>
        <v>0.34591879932476932</v>
      </c>
      <c r="AH49" s="316">
        <f t="shared" si="55"/>
        <v>1.7962999426210935E-3</v>
      </c>
      <c r="AI49" s="316">
        <f t="shared" si="56"/>
        <v>0.3477150992673903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0.18914395745603899</v>
      </c>
      <c r="AQ49" s="294">
        <f t="shared" si="62"/>
        <v>1.3895475973527018</v>
      </c>
      <c r="AR49" s="315">
        <f t="shared" si="63"/>
        <v>0.60545402440365381</v>
      </c>
      <c r="AS49" s="315">
        <f t="shared" si="64"/>
        <v>0.97529965461456536</v>
      </c>
      <c r="AT49" s="316">
        <f t="shared" si="65"/>
        <v>0.58075367901821906</v>
      </c>
      <c r="AU49" s="316">
        <f t="shared" si="66"/>
        <v>0.39454597559634619</v>
      </c>
      <c r="AV49" s="316">
        <f t="shared" si="67"/>
        <v>2.4700345385434641E-2</v>
      </c>
      <c r="AW49" s="338">
        <f t="shared" si="68"/>
        <v>0.41924632098178094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48"/>
        <v>0.17412335788723315</v>
      </c>
      <c r="AB50" s="294">
        <f t="shared" si="49"/>
        <v>0.40732348415770336</v>
      </c>
      <c r="AC50" s="294">
        <f t="shared" si="50"/>
        <v>1.9319576387201169</v>
      </c>
      <c r="AD50" s="315">
        <f t="shared" si="51"/>
        <v>0.71770673705216914</v>
      </c>
      <c r="AE50" s="315">
        <f t="shared" si="52"/>
        <v>0.99685435975604453</v>
      </c>
      <c r="AF50" s="316">
        <f t="shared" si="53"/>
        <v>0.71456109680821367</v>
      </c>
      <c r="AG50" s="316">
        <f t="shared" si="54"/>
        <v>0.28229326294783086</v>
      </c>
      <c r="AH50" s="316">
        <f t="shared" si="55"/>
        <v>3.145640243955472E-3</v>
      </c>
      <c r="AI50" s="316">
        <f t="shared" si="56"/>
        <v>0.28543890319178633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0.27488707459151496</v>
      </c>
      <c r="AQ50" s="294">
        <f t="shared" si="62"/>
        <v>1.3038044802172257</v>
      </c>
      <c r="AR50" s="315">
        <f t="shared" si="63"/>
        <v>0.65126909520420462</v>
      </c>
      <c r="AS50" s="315">
        <f t="shared" si="64"/>
        <v>0.96739807974881575</v>
      </c>
      <c r="AT50" s="316">
        <f t="shared" si="65"/>
        <v>0.61866717495302037</v>
      </c>
      <c r="AU50" s="316">
        <f t="shared" si="66"/>
        <v>0.34873090479579538</v>
      </c>
      <c r="AV50" s="316">
        <f t="shared" si="67"/>
        <v>3.2601920251184247E-2</v>
      </c>
      <c r="AW50" s="338">
        <f t="shared" si="68"/>
        <v>0.38133282504697963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48"/>
        <v>0.22843613157269427</v>
      </c>
      <c r="AB51" s="294">
        <f t="shared" si="49"/>
        <v>0.53437633037123777</v>
      </c>
      <c r="AC51" s="294">
        <f t="shared" si="50"/>
        <v>1.8049047925065829</v>
      </c>
      <c r="AD51" s="315">
        <f t="shared" si="51"/>
        <v>0.7750921306677494</v>
      </c>
      <c r="AE51" s="315">
        <f t="shared" si="52"/>
        <v>0.99465267437587968</v>
      </c>
      <c r="AF51" s="316">
        <f t="shared" si="53"/>
        <v>0.76974480504362908</v>
      </c>
      <c r="AG51" s="316">
        <f t="shared" si="54"/>
        <v>0.2249078693322506</v>
      </c>
      <c r="AH51" s="316">
        <f t="shared" si="55"/>
        <v>5.3473256241203249E-3</v>
      </c>
      <c r="AI51" s="316">
        <f t="shared" si="56"/>
        <v>0.23025519495637092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0.36063019172699085</v>
      </c>
      <c r="AQ51" s="294">
        <f t="shared" si="62"/>
        <v>1.2180613630817501</v>
      </c>
      <c r="AR51" s="315">
        <f t="shared" si="63"/>
        <v>0.69497710931273315</v>
      </c>
      <c r="AS51" s="315">
        <f t="shared" si="64"/>
        <v>0.95751945791794779</v>
      </c>
      <c r="AT51" s="316">
        <f t="shared" si="65"/>
        <v>0.65249656723068084</v>
      </c>
      <c r="AU51" s="316">
        <f t="shared" si="66"/>
        <v>0.30502289068726685</v>
      </c>
      <c r="AV51" s="316">
        <f t="shared" si="67"/>
        <v>4.2480542082052208E-2</v>
      </c>
      <c r="AW51" s="338">
        <f t="shared" si="68"/>
        <v>0.34750343276931916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48"/>
        <v>0.28274890525815544</v>
      </c>
      <c r="AB52" s="294">
        <f t="shared" si="49"/>
        <v>0.6614291765847724</v>
      </c>
      <c r="AC52" s="294">
        <f t="shared" si="50"/>
        <v>1.6778519462930483</v>
      </c>
      <c r="AD52" s="315">
        <f t="shared" si="51"/>
        <v>0.82520944557028231</v>
      </c>
      <c r="AE52" s="315">
        <f t="shared" si="52"/>
        <v>0.99117406907804639</v>
      </c>
      <c r="AF52" s="316">
        <f t="shared" si="53"/>
        <v>0.8163835146483287</v>
      </c>
      <c r="AG52" s="316">
        <f t="shared" si="54"/>
        <v>0.17479055442971769</v>
      </c>
      <c r="AH52" s="316">
        <f t="shared" si="55"/>
        <v>8.8259309219536064E-3</v>
      </c>
      <c r="AI52" s="316">
        <f t="shared" si="56"/>
        <v>0.1836164853516713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0.44637330886246679</v>
      </c>
      <c r="AQ52" s="294">
        <f t="shared" si="62"/>
        <v>1.1323182459462742</v>
      </c>
      <c r="AR52" s="315">
        <f t="shared" si="63"/>
        <v>0.73606708109412611</v>
      </c>
      <c r="AS52" s="315">
        <f t="shared" si="64"/>
        <v>0.94534916306738137</v>
      </c>
      <c r="AT52" s="316">
        <f t="shared" si="65"/>
        <v>0.68141624416150748</v>
      </c>
      <c r="AU52" s="316">
        <f t="shared" si="66"/>
        <v>0.26393291890587389</v>
      </c>
      <c r="AV52" s="316">
        <f t="shared" si="67"/>
        <v>5.4650836932618629E-2</v>
      </c>
      <c r="AW52" s="338">
        <f t="shared" si="68"/>
        <v>0.31858375583849252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48"/>
        <v>0.33706167894361655</v>
      </c>
      <c r="AB53" s="294">
        <f t="shared" si="49"/>
        <v>0.78848202279830681</v>
      </c>
      <c r="AC53" s="294">
        <f t="shared" si="50"/>
        <v>1.550799100079514</v>
      </c>
      <c r="AD53" s="315">
        <f t="shared" si="51"/>
        <v>0.86759235154310788</v>
      </c>
      <c r="AE53" s="315">
        <f t="shared" si="52"/>
        <v>0.98585211365021697</v>
      </c>
      <c r="AF53" s="316">
        <f t="shared" si="53"/>
        <v>0.85344446519332484</v>
      </c>
      <c r="AG53" s="316">
        <f t="shared" si="54"/>
        <v>0.13240764845689212</v>
      </c>
      <c r="AH53" s="316">
        <f t="shared" si="55"/>
        <v>1.4147886349783034E-2</v>
      </c>
      <c r="AI53" s="316">
        <f t="shared" si="56"/>
        <v>0.14655553480667516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0.53211642599794273</v>
      </c>
      <c r="AQ53" s="294">
        <f t="shared" si="62"/>
        <v>1.0465751288107983</v>
      </c>
      <c r="AR53" s="315">
        <f t="shared" si="63"/>
        <v>0.77413267994938617</v>
      </c>
      <c r="AS53" s="315">
        <f t="shared" si="64"/>
        <v>0.9305741497504123</v>
      </c>
      <c r="AT53" s="316">
        <f t="shared" si="65"/>
        <v>0.70470682969979848</v>
      </c>
      <c r="AU53" s="316">
        <f t="shared" si="66"/>
        <v>0.22586732005061383</v>
      </c>
      <c r="AV53" s="316">
        <f t="shared" si="67"/>
        <v>6.9425850249587695E-2</v>
      </c>
      <c r="AW53" s="338">
        <f t="shared" si="68"/>
        <v>0.29529317030020152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48"/>
        <v>0.39137445262907766</v>
      </c>
      <c r="AB54" s="294">
        <f t="shared" si="49"/>
        <v>0.91553486901184111</v>
      </c>
      <c r="AC54" s="294">
        <f t="shared" si="50"/>
        <v>1.4237462538659795</v>
      </c>
      <c r="AD54" s="315">
        <f t="shared" si="51"/>
        <v>0.90229879817385761</v>
      </c>
      <c r="AE54" s="315">
        <f t="shared" si="52"/>
        <v>0.97796798783179217</v>
      </c>
      <c r="AF54" s="316">
        <f t="shared" si="53"/>
        <v>0.88026678600564967</v>
      </c>
      <c r="AG54" s="316">
        <f t="shared" si="54"/>
        <v>9.7701201826142392E-2</v>
      </c>
      <c r="AH54" s="316">
        <f t="shared" si="55"/>
        <v>2.2032012168207826E-2</v>
      </c>
      <c r="AI54" s="316">
        <f t="shared" si="56"/>
        <v>0.11973321399435033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0.61785954313341851</v>
      </c>
      <c r="AQ54" s="294">
        <f t="shared" si="62"/>
        <v>0.96083201167532239</v>
      </c>
      <c r="AR54" s="315">
        <f t="shared" si="63"/>
        <v>0.80888241874331857</v>
      </c>
      <c r="AS54" s="315">
        <f t="shared" si="64"/>
        <v>0.9128984463543075</v>
      </c>
      <c r="AT54" s="316">
        <f t="shared" si="65"/>
        <v>0.72178086509762607</v>
      </c>
      <c r="AU54" s="316">
        <f t="shared" si="66"/>
        <v>0.19111758125668143</v>
      </c>
      <c r="AV54" s="316">
        <f t="shared" si="67"/>
        <v>8.7101553645692498E-2</v>
      </c>
      <c r="AW54" s="338">
        <f t="shared" si="68"/>
        <v>0.27821913490237393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48"/>
        <v>0.44568722631453883</v>
      </c>
      <c r="AB55" s="294">
        <f t="shared" si="49"/>
        <v>1.0425877152253757</v>
      </c>
      <c r="AC55" s="294">
        <f t="shared" si="50"/>
        <v>1.296693407652445</v>
      </c>
      <c r="AD55" s="315">
        <f t="shared" si="51"/>
        <v>0.92981864629767874</v>
      </c>
      <c r="AE55" s="315">
        <f t="shared" si="52"/>
        <v>0.96665826032107816</v>
      </c>
      <c r="AF55" s="316">
        <f t="shared" si="53"/>
        <v>0.89647690661875679</v>
      </c>
      <c r="AG55" s="316">
        <f t="shared" si="54"/>
        <v>7.0181353702321259E-2</v>
      </c>
      <c r="AH55" s="316">
        <f t="shared" si="55"/>
        <v>3.3341739678921845E-2</v>
      </c>
      <c r="AI55" s="316">
        <f t="shared" si="56"/>
        <v>0.10352309338124321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0.70360266026889451</v>
      </c>
      <c r="AQ55" s="294">
        <f t="shared" si="62"/>
        <v>0.8750888945398464</v>
      </c>
      <c r="AR55" s="315">
        <f t="shared" si="63"/>
        <v>0.84014267080321425</v>
      </c>
      <c r="AS55" s="315">
        <f t="shared" si="64"/>
        <v>0.89206085220046716</v>
      </c>
      <c r="AT55" s="316">
        <f t="shared" si="65"/>
        <v>0.73220352300368141</v>
      </c>
      <c r="AU55" s="316">
        <f t="shared" si="66"/>
        <v>0.15985732919678575</v>
      </c>
      <c r="AV55" s="316">
        <f t="shared" si="67"/>
        <v>0.10793914779953284</v>
      </c>
      <c r="AW55" s="338">
        <f t="shared" si="68"/>
        <v>0.26779647699631859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48"/>
        <v>0.49999999999999994</v>
      </c>
      <c r="AB56" s="294">
        <f t="shared" si="49"/>
        <v>1.1696405614389103</v>
      </c>
      <c r="AC56" s="294">
        <f t="shared" si="50"/>
        <v>1.1696405614389103</v>
      </c>
      <c r="AD56" s="315">
        <f t="shared" si="51"/>
        <v>0.95094859033989387</v>
      </c>
      <c r="AE56" s="315">
        <f t="shared" si="52"/>
        <v>0.95094859033989387</v>
      </c>
      <c r="AF56" s="316">
        <f t="shared" si="53"/>
        <v>0.90189718067978775</v>
      </c>
      <c r="AG56" s="316">
        <f t="shared" si="54"/>
        <v>4.9051409660106127E-2</v>
      </c>
      <c r="AH56" s="316">
        <f t="shared" si="55"/>
        <v>4.9051409660106127E-2</v>
      </c>
      <c r="AI56" s="316">
        <f t="shared" si="56"/>
        <v>9.8102819320212253E-2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0.7893457774043704</v>
      </c>
      <c r="AQ56" s="294">
        <f t="shared" si="62"/>
        <v>0.7893457774043704</v>
      </c>
      <c r="AR56" s="315">
        <f t="shared" si="63"/>
        <v>0.86785387883329057</v>
      </c>
      <c r="AS56" s="315">
        <f t="shared" si="64"/>
        <v>0.86785387883329057</v>
      </c>
      <c r="AT56" s="316">
        <f t="shared" si="65"/>
        <v>0.73570775766658114</v>
      </c>
      <c r="AU56" s="316">
        <f t="shared" si="66"/>
        <v>0.13214612116670943</v>
      </c>
      <c r="AV56" s="316">
        <f t="shared" si="67"/>
        <v>0.13214612116670943</v>
      </c>
      <c r="AW56" s="338">
        <f t="shared" si="68"/>
        <v>0.26429224233341886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48"/>
        <v>0.55431277368546106</v>
      </c>
      <c r="AB57" s="294">
        <f t="shared" si="49"/>
        <v>1.2966934076524446</v>
      </c>
      <c r="AC57" s="294">
        <f t="shared" si="50"/>
        <v>1.042587715225376</v>
      </c>
      <c r="AD57" s="315">
        <f t="shared" si="51"/>
        <v>0.96665826032107804</v>
      </c>
      <c r="AE57" s="315">
        <f t="shared" si="52"/>
        <v>0.92981864629767874</v>
      </c>
      <c r="AF57" s="316">
        <f t="shared" si="53"/>
        <v>0.89647690661875679</v>
      </c>
      <c r="AG57" s="316">
        <f t="shared" si="54"/>
        <v>3.3341739678921956E-2</v>
      </c>
      <c r="AH57" s="316">
        <f t="shared" si="55"/>
        <v>7.0181353702321259E-2</v>
      </c>
      <c r="AI57" s="316">
        <f t="shared" si="56"/>
        <v>0.10352309338124321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0.87508889453984617</v>
      </c>
      <c r="AQ57" s="294">
        <f t="shared" si="62"/>
        <v>0.70360266026889462</v>
      </c>
      <c r="AR57" s="315">
        <f t="shared" si="63"/>
        <v>0.89206085220046716</v>
      </c>
      <c r="AS57" s="315">
        <f t="shared" si="64"/>
        <v>0.84014267080321425</v>
      </c>
      <c r="AT57" s="316">
        <f t="shared" si="65"/>
        <v>0.73220352300368141</v>
      </c>
      <c r="AU57" s="316">
        <f t="shared" si="66"/>
        <v>0.10793914779953284</v>
      </c>
      <c r="AV57" s="316">
        <f t="shared" si="67"/>
        <v>0.15985732919678575</v>
      </c>
      <c r="AW57" s="338">
        <f t="shared" si="68"/>
        <v>0.26779647699631859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48"/>
        <v>0.60862554737092223</v>
      </c>
      <c r="AB58" s="294">
        <f t="shared" si="49"/>
        <v>1.4237462538659791</v>
      </c>
      <c r="AC58" s="294">
        <f t="shared" si="50"/>
        <v>0.91553486901184145</v>
      </c>
      <c r="AD58" s="315">
        <f t="shared" si="51"/>
        <v>0.97796798783179217</v>
      </c>
      <c r="AE58" s="315">
        <f t="shared" si="52"/>
        <v>0.90229879817385772</v>
      </c>
      <c r="AF58" s="316">
        <f t="shared" si="53"/>
        <v>0.88026678600564989</v>
      </c>
      <c r="AG58" s="316">
        <f t="shared" si="54"/>
        <v>2.2032012168207826E-2</v>
      </c>
      <c r="AH58" s="316">
        <f t="shared" si="55"/>
        <v>9.7701201826142281E-2</v>
      </c>
      <c r="AI58" s="316">
        <f t="shared" si="56"/>
        <v>0.11973321399435011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0.96083201167532217</v>
      </c>
      <c r="AQ58" s="294">
        <f t="shared" si="62"/>
        <v>0.61785954313341862</v>
      </c>
      <c r="AR58" s="315">
        <f t="shared" si="63"/>
        <v>0.9128984463543075</v>
      </c>
      <c r="AS58" s="315">
        <f t="shared" si="64"/>
        <v>0.80888241874331868</v>
      </c>
      <c r="AT58" s="316">
        <f t="shared" si="65"/>
        <v>0.72178086509762629</v>
      </c>
      <c r="AU58" s="316">
        <f t="shared" si="66"/>
        <v>8.7101553645692498E-2</v>
      </c>
      <c r="AV58" s="316">
        <f t="shared" si="67"/>
        <v>0.19111758125668132</v>
      </c>
      <c r="AW58" s="338">
        <f t="shared" si="68"/>
        <v>0.27821913490237371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48"/>
        <v>0.66293832105638351</v>
      </c>
      <c r="AB59" s="294">
        <f t="shared" si="49"/>
        <v>1.550799100079514</v>
      </c>
      <c r="AC59" s="294">
        <f t="shared" si="50"/>
        <v>0.7884820227983067</v>
      </c>
      <c r="AD59" s="315">
        <f t="shared" si="51"/>
        <v>0.98585211365021697</v>
      </c>
      <c r="AE59" s="315">
        <f t="shared" si="52"/>
        <v>0.86759235154310788</v>
      </c>
      <c r="AF59" s="316">
        <f t="shared" si="53"/>
        <v>0.85344446519332484</v>
      </c>
      <c r="AG59" s="316">
        <f t="shared" si="54"/>
        <v>1.4147886349783034E-2</v>
      </c>
      <c r="AH59" s="316">
        <f t="shared" si="55"/>
        <v>0.13240764845689212</v>
      </c>
      <c r="AI59" s="316">
        <f t="shared" si="56"/>
        <v>0.14655553480667516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1.0465751288107983</v>
      </c>
      <c r="AQ59" s="294">
        <f t="shared" si="62"/>
        <v>0.53211642599794262</v>
      </c>
      <c r="AR59" s="315">
        <f t="shared" si="63"/>
        <v>0.9305741497504123</v>
      </c>
      <c r="AS59" s="315">
        <f t="shared" si="64"/>
        <v>0.77413267994938617</v>
      </c>
      <c r="AT59" s="316">
        <f t="shared" si="65"/>
        <v>0.70470682969979848</v>
      </c>
      <c r="AU59" s="316">
        <f t="shared" si="66"/>
        <v>6.9425850249587695E-2</v>
      </c>
      <c r="AV59" s="316">
        <f t="shared" si="67"/>
        <v>0.22586732005061383</v>
      </c>
      <c r="AW59" s="338">
        <f t="shared" si="68"/>
        <v>0.29529317030020152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48"/>
        <v>0.71725109474184467</v>
      </c>
      <c r="AB60" s="294">
        <f t="shared" si="49"/>
        <v>1.6778519462930486</v>
      </c>
      <c r="AC60" s="294">
        <f t="shared" si="50"/>
        <v>0.66142917658477207</v>
      </c>
      <c r="AD60" s="315">
        <f t="shared" si="51"/>
        <v>0.9911740690780465</v>
      </c>
      <c r="AE60" s="315">
        <f t="shared" si="52"/>
        <v>0.82520944557028209</v>
      </c>
      <c r="AF60" s="316">
        <f t="shared" si="53"/>
        <v>0.81638351464832848</v>
      </c>
      <c r="AG60" s="316">
        <f t="shared" si="54"/>
        <v>8.8259309219534954E-3</v>
      </c>
      <c r="AH60" s="316">
        <f t="shared" si="55"/>
        <v>0.17479055442971791</v>
      </c>
      <c r="AI60" s="316">
        <f t="shared" si="56"/>
        <v>0.18361648535167152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1.1323182459462744</v>
      </c>
      <c r="AQ60" s="294">
        <f t="shared" si="62"/>
        <v>0.44637330886246662</v>
      </c>
      <c r="AR60" s="315">
        <f t="shared" si="63"/>
        <v>0.94534916306738137</v>
      </c>
      <c r="AS60" s="315">
        <f t="shared" si="64"/>
        <v>0.73606708109412611</v>
      </c>
      <c r="AT60" s="316">
        <f t="shared" si="65"/>
        <v>0.68141624416150748</v>
      </c>
      <c r="AU60" s="316">
        <f t="shared" si="66"/>
        <v>5.4650836932618629E-2</v>
      </c>
      <c r="AV60" s="316">
        <f t="shared" si="67"/>
        <v>0.26393291890587389</v>
      </c>
      <c r="AW60" s="338">
        <f t="shared" si="68"/>
        <v>0.31858375583849252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48"/>
        <v>0.77156386842730584</v>
      </c>
      <c r="AB61" s="294">
        <f t="shared" si="49"/>
        <v>1.8049047925065829</v>
      </c>
      <c r="AC61" s="294">
        <f t="shared" si="50"/>
        <v>0.53437633037123755</v>
      </c>
      <c r="AD61" s="315">
        <f t="shared" si="51"/>
        <v>0.99465267437587968</v>
      </c>
      <c r="AE61" s="315">
        <f t="shared" si="52"/>
        <v>0.77509213066774929</v>
      </c>
      <c r="AF61" s="316">
        <f t="shared" si="53"/>
        <v>0.76974480504362885</v>
      </c>
      <c r="AG61" s="316">
        <f t="shared" si="54"/>
        <v>5.3473256241203249E-3</v>
      </c>
      <c r="AH61" s="316">
        <f t="shared" si="55"/>
        <v>0.22490786933225071</v>
      </c>
      <c r="AI61" s="316">
        <f t="shared" si="56"/>
        <v>0.23025519495637115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1.2180613630817501</v>
      </c>
      <c r="AQ61" s="294">
        <f t="shared" si="62"/>
        <v>0.36063019172699062</v>
      </c>
      <c r="AR61" s="315">
        <f t="shared" si="63"/>
        <v>0.95751945791794779</v>
      </c>
      <c r="AS61" s="315">
        <f t="shared" si="64"/>
        <v>0.69497710931273304</v>
      </c>
      <c r="AT61" s="316">
        <f t="shared" si="65"/>
        <v>0.65249656723068084</v>
      </c>
      <c r="AU61" s="316">
        <f t="shared" si="66"/>
        <v>4.2480542082052208E-2</v>
      </c>
      <c r="AV61" s="316">
        <f t="shared" si="67"/>
        <v>0.30502289068726696</v>
      </c>
      <c r="AW61" s="338">
        <f t="shared" si="68"/>
        <v>0.34750343276931916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48"/>
        <v>0.82587664211276701</v>
      </c>
      <c r="AB62" s="294">
        <f t="shared" si="49"/>
        <v>1.9319576387201176</v>
      </c>
      <c r="AC62" s="294">
        <f t="shared" si="50"/>
        <v>0.40732348415770303</v>
      </c>
      <c r="AD62" s="315">
        <f t="shared" si="51"/>
        <v>0.99685435975604453</v>
      </c>
      <c r="AE62" s="315">
        <f t="shared" si="52"/>
        <v>0.71770673705216892</v>
      </c>
      <c r="AF62" s="316">
        <f t="shared" si="53"/>
        <v>0.71456109680821345</v>
      </c>
      <c r="AG62" s="316">
        <f t="shared" si="54"/>
        <v>3.145640243955472E-3</v>
      </c>
      <c r="AH62" s="316">
        <f t="shared" si="55"/>
        <v>0.28229326294783108</v>
      </c>
      <c r="AI62" s="316">
        <f t="shared" si="56"/>
        <v>0.28543890319178655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1.3038044802172262</v>
      </c>
      <c r="AQ62" s="294">
        <f t="shared" si="62"/>
        <v>0.27488707459151468</v>
      </c>
      <c r="AR62" s="315">
        <f t="shared" si="63"/>
        <v>0.96739807974881575</v>
      </c>
      <c r="AS62" s="315">
        <f t="shared" si="64"/>
        <v>0.65126909520420451</v>
      </c>
      <c r="AT62" s="316">
        <f t="shared" si="65"/>
        <v>0.61866717495302037</v>
      </c>
      <c r="AU62" s="316">
        <f t="shared" si="66"/>
        <v>3.2601920251184247E-2</v>
      </c>
      <c r="AV62" s="316">
        <f t="shared" si="67"/>
        <v>0.34873090479579549</v>
      </c>
      <c r="AW62" s="338">
        <f t="shared" si="68"/>
        <v>0.38133282504697963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48"/>
        <v>0.88018941579822818</v>
      </c>
      <c r="AB63" s="294">
        <f t="shared" si="49"/>
        <v>2.0590104849336521</v>
      </c>
      <c r="AC63" s="294">
        <f t="shared" si="50"/>
        <v>0.28027063794416845</v>
      </c>
      <c r="AD63" s="315">
        <f t="shared" si="51"/>
        <v>0.99820370005737891</v>
      </c>
      <c r="AE63" s="315">
        <f t="shared" si="52"/>
        <v>0.65408120067523046</v>
      </c>
      <c r="AF63" s="316">
        <f t="shared" si="53"/>
        <v>0.65228490073260925</v>
      </c>
      <c r="AG63" s="316">
        <f t="shared" si="54"/>
        <v>1.7962999426210935E-3</v>
      </c>
      <c r="AH63" s="316">
        <f t="shared" si="55"/>
        <v>0.34591879932476954</v>
      </c>
      <c r="AI63" s="316">
        <f t="shared" si="56"/>
        <v>0.34771509926739075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1.3895475973527021</v>
      </c>
      <c r="AQ63" s="294">
        <f t="shared" si="62"/>
        <v>0.18914395745603874</v>
      </c>
      <c r="AR63" s="315">
        <f t="shared" si="63"/>
        <v>0.97529965461456547</v>
      </c>
      <c r="AS63" s="315">
        <f t="shared" si="64"/>
        <v>0.6054540244036537</v>
      </c>
      <c r="AT63" s="316">
        <f t="shared" si="65"/>
        <v>0.58075367901821906</v>
      </c>
      <c r="AU63" s="316">
        <f t="shared" si="66"/>
        <v>2.470034538543453E-2</v>
      </c>
      <c r="AV63" s="316">
        <f t="shared" si="67"/>
        <v>0.3945459755963463</v>
      </c>
      <c r="AW63" s="338">
        <f t="shared" si="68"/>
        <v>0.41924632098178094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48"/>
        <v>0.93450218948368946</v>
      </c>
      <c r="AB64" s="294">
        <f t="shared" si="49"/>
        <v>2.1860633311471869</v>
      </c>
      <c r="AC64" s="294">
        <f t="shared" si="50"/>
        <v>0.15321779173063366</v>
      </c>
      <c r="AD64" s="315">
        <f t="shared" si="51"/>
        <v>0.99900446268364318</v>
      </c>
      <c r="AE64" s="315">
        <f t="shared" si="52"/>
        <v>0.5857721762853102</v>
      </c>
      <c r="AF64" s="316">
        <f t="shared" si="53"/>
        <v>0.58477663896895349</v>
      </c>
      <c r="AG64" s="316">
        <f t="shared" si="54"/>
        <v>9.9553731635682041E-4</v>
      </c>
      <c r="AH64" s="316">
        <f t="shared" si="55"/>
        <v>0.4142278237146898</v>
      </c>
      <c r="AI64" s="316">
        <f t="shared" si="56"/>
        <v>0.41522336103104651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1.4752907144881784</v>
      </c>
      <c r="AQ64" s="294">
        <f t="shared" si="62"/>
        <v>0.10340084032056258</v>
      </c>
      <c r="AR64" s="315">
        <f t="shared" si="63"/>
        <v>0.98152771757945056</v>
      </c>
      <c r="AS64" s="315">
        <f t="shared" si="64"/>
        <v>0.55813043191725908</v>
      </c>
      <c r="AT64" s="316">
        <f t="shared" si="65"/>
        <v>0.53965814949670965</v>
      </c>
      <c r="AU64" s="316">
        <f t="shared" si="66"/>
        <v>1.8472282420549435E-2</v>
      </c>
      <c r="AV64" s="316">
        <f t="shared" si="67"/>
        <v>0.44186956808274092</v>
      </c>
      <c r="AW64" s="338">
        <f t="shared" si="68"/>
        <v>0.46034185050329035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48"/>
        <v>0.98881496316915063</v>
      </c>
      <c r="AB65" s="294">
        <f t="shared" si="49"/>
        <v>2.3131161773607216</v>
      </c>
      <c r="AC65" s="294">
        <f t="shared" si="50"/>
        <v>2.6164945517099095E-2</v>
      </c>
      <c r="AD65" s="315">
        <f t="shared" si="51"/>
        <v>0.99946461552361254</v>
      </c>
      <c r="AE65" s="315">
        <f t="shared" si="52"/>
        <v>0.5147586216990232</v>
      </c>
      <c r="AF65" s="316">
        <f t="shared" si="53"/>
        <v>0.51422323722263563</v>
      </c>
      <c r="AG65" s="316">
        <f t="shared" si="54"/>
        <v>5.3538447638745712E-4</v>
      </c>
      <c r="AH65" s="316">
        <f t="shared" si="55"/>
        <v>0.4852413783009768</v>
      </c>
      <c r="AI65" s="316">
        <f t="shared" si="56"/>
        <v>0.48577676277736437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1.5610338316236543</v>
      </c>
      <c r="AQ65" s="294">
        <f t="shared" si="62"/>
        <v>1.7657723185086623E-2</v>
      </c>
      <c r="AR65" s="315">
        <f t="shared" si="63"/>
        <v>0.98636514390083807</v>
      </c>
      <c r="AS65" s="315">
        <f t="shared" si="64"/>
        <v>0.50996126818760801</v>
      </c>
      <c r="AT65" s="316">
        <f t="shared" si="65"/>
        <v>0.49632641208844608</v>
      </c>
      <c r="AU65" s="316">
        <f t="shared" si="66"/>
        <v>1.3634856099161929E-2</v>
      </c>
      <c r="AV65" s="316">
        <f t="shared" si="67"/>
        <v>0.49003873181239199</v>
      </c>
      <c r="AW65" s="338">
        <f t="shared" si="68"/>
        <v>0.50367358791155392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48"/>
        <v>1.0431277368546117</v>
      </c>
      <c r="AB66" s="294">
        <f t="shared" si="49"/>
        <v>2.4401690235742559</v>
      </c>
      <c r="AC66" s="294">
        <f t="shared" si="50"/>
        <v>-0.10088790069643519</v>
      </c>
      <c r="AD66" s="315">
        <f t="shared" si="51"/>
        <v>0.99972066055959874</v>
      </c>
      <c r="AE66" s="315">
        <f t="shared" si="52"/>
        <v>0.44327262631002989</v>
      </c>
      <c r="AF66" s="316">
        <f t="shared" si="53"/>
        <v>0.44299328686962869</v>
      </c>
      <c r="AG66" s="316">
        <f t="shared" si="54"/>
        <v>2.7933944040126057E-4</v>
      </c>
      <c r="AH66" s="316">
        <f t="shared" si="55"/>
        <v>0.55672737368997005</v>
      </c>
      <c r="AI66" s="316">
        <f t="shared" si="56"/>
        <v>0.55700671313037131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1.6467769487591302</v>
      </c>
      <c r="AQ66" s="294">
        <f t="shared" si="62"/>
        <v>-6.8085393950389164E-2</v>
      </c>
      <c r="AR66" s="315">
        <f t="shared" si="63"/>
        <v>0.99006766688147785</v>
      </c>
      <c r="AS66" s="315">
        <f t="shared" si="64"/>
        <v>0.4616462036297711</v>
      </c>
      <c r="AT66" s="316">
        <f t="shared" si="65"/>
        <v>0.45171387051124889</v>
      </c>
      <c r="AU66" s="316">
        <f t="shared" si="66"/>
        <v>9.9323331185221519E-3</v>
      </c>
      <c r="AV66" s="316">
        <f t="shared" si="67"/>
        <v>0.53835379637022895</v>
      </c>
      <c r="AW66" s="338">
        <f t="shared" si="68"/>
        <v>0.54828612948875111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48"/>
        <v>1.0974405105400729</v>
      </c>
      <c r="AB67" s="294">
        <f t="shared" si="49"/>
        <v>2.5672218697877907</v>
      </c>
      <c r="AC67" s="294">
        <f t="shared" si="50"/>
        <v>-0.22794074690996977</v>
      </c>
      <c r="AD67" s="315">
        <f t="shared" si="51"/>
        <v>0.99985861843167001</v>
      </c>
      <c r="AE67" s="315">
        <f t="shared" si="52"/>
        <v>0.3735911674820297</v>
      </c>
      <c r="AF67" s="316">
        <f t="shared" si="53"/>
        <v>0.37344978591369982</v>
      </c>
      <c r="AG67" s="316">
        <f t="shared" si="54"/>
        <v>1.4138156832999016E-4</v>
      </c>
      <c r="AH67" s="316">
        <f t="shared" si="55"/>
        <v>0.6264088325179703</v>
      </c>
      <c r="AI67" s="316">
        <f t="shared" si="56"/>
        <v>0.62655021408630018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1.7325200658946061</v>
      </c>
      <c r="AQ67" s="294">
        <f t="shared" si="62"/>
        <v>-0.15382851108586512</v>
      </c>
      <c r="AR67" s="315">
        <f t="shared" si="63"/>
        <v>0.9928602312329271</v>
      </c>
      <c r="AS67" s="315">
        <f t="shared" si="64"/>
        <v>0.41389128836229622</v>
      </c>
      <c r="AT67" s="316">
        <f t="shared" si="65"/>
        <v>0.40675151959522338</v>
      </c>
      <c r="AU67" s="316">
        <f t="shared" si="66"/>
        <v>7.139768767072896E-3</v>
      </c>
      <c r="AV67" s="316">
        <f t="shared" si="67"/>
        <v>0.58610871163770373</v>
      </c>
      <c r="AW67" s="338">
        <f t="shared" si="68"/>
        <v>0.59324848040477662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48"/>
        <v>1.151753284225534</v>
      </c>
      <c r="AB68" s="294">
        <f t="shared" si="49"/>
        <v>2.694274716001325</v>
      </c>
      <c r="AC68" s="294">
        <f t="shared" si="50"/>
        <v>-0.35499359312350426</v>
      </c>
      <c r="AD68" s="315">
        <f t="shared" si="51"/>
        <v>0.99993059521156713</v>
      </c>
      <c r="AE68" s="315">
        <f t="shared" si="52"/>
        <v>0.30782083377625657</v>
      </c>
      <c r="AF68" s="316">
        <f t="shared" si="53"/>
        <v>0.30775142898782359</v>
      </c>
      <c r="AG68" s="316">
        <f t="shared" si="54"/>
        <v>6.940478843286968E-5</v>
      </c>
      <c r="AH68" s="316">
        <f t="shared" si="55"/>
        <v>0.69217916622374343</v>
      </c>
      <c r="AI68" s="316">
        <f t="shared" si="56"/>
        <v>0.69224857101217641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1.8182631830300819</v>
      </c>
      <c r="AQ68" s="294">
        <f t="shared" si="62"/>
        <v>-0.23957162822134107</v>
      </c>
      <c r="AR68" s="315">
        <f t="shared" si="63"/>
        <v>0.99493576900330249</v>
      </c>
      <c r="AS68" s="315">
        <f t="shared" si="64"/>
        <v>0.36737814926263712</v>
      </c>
      <c r="AT68" s="316">
        <f t="shared" si="65"/>
        <v>0.36231391826593962</v>
      </c>
      <c r="AU68" s="316">
        <f t="shared" si="66"/>
        <v>5.0642309966975052E-3</v>
      </c>
      <c r="AV68" s="316">
        <f t="shared" si="67"/>
        <v>0.63262185073736288</v>
      </c>
      <c r="AW68" s="338">
        <f t="shared" si="68"/>
        <v>0.63768608173406038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48"/>
        <v>1.2060660579109954</v>
      </c>
      <c r="AB69" s="294">
        <f t="shared" si="49"/>
        <v>2.8213275622148601</v>
      </c>
      <c r="AC69" s="294">
        <f t="shared" si="50"/>
        <v>-0.48204643933703939</v>
      </c>
      <c r="AD69" s="315">
        <f t="shared" si="51"/>
        <v>0.99996695773906641</v>
      </c>
      <c r="AE69" s="315">
        <f t="shared" si="52"/>
        <v>0.24770908054141022</v>
      </c>
      <c r="AF69" s="316">
        <f t="shared" si="53"/>
        <v>0.24767603828047657</v>
      </c>
      <c r="AG69" s="316">
        <f t="shared" si="54"/>
        <v>3.3042260933591194E-5</v>
      </c>
      <c r="AH69" s="316">
        <f t="shared" si="55"/>
        <v>0.75229091945858984</v>
      </c>
      <c r="AI69" s="316">
        <f t="shared" si="56"/>
        <v>0.75232396171952343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1.9040063001655585</v>
      </c>
      <c r="AQ69" s="319">
        <f t="shared" si="62"/>
        <v>-0.32531474535681737</v>
      </c>
      <c r="AR69" s="320">
        <f t="shared" si="63"/>
        <v>0.99645589684474145</v>
      </c>
      <c r="AS69" s="320">
        <f t="shared" si="64"/>
        <v>0.32273495322543694</v>
      </c>
      <c r="AT69" s="321">
        <f t="shared" si="65"/>
        <v>0.31919085007017833</v>
      </c>
      <c r="AU69" s="321">
        <f t="shared" si="66"/>
        <v>3.5441031552585489E-3</v>
      </c>
      <c r="AV69" s="321">
        <f t="shared" si="67"/>
        <v>0.67726504677456312</v>
      </c>
      <c r="AW69" s="340">
        <f t="shared" si="68"/>
        <v>0.68080914992982167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48"/>
        <v>1.2603788315964564</v>
      </c>
      <c r="AB70" s="294">
        <f t="shared" si="49"/>
        <v>2.948380408428394</v>
      </c>
      <c r="AC70" s="294">
        <f t="shared" si="50"/>
        <v>-0.60909928555057335</v>
      </c>
      <c r="AD70" s="315">
        <f t="shared" si="51"/>
        <v>0.99998474591250264</v>
      </c>
      <c r="AE70" s="315">
        <f t="shared" si="52"/>
        <v>0.19450985966590983</v>
      </c>
      <c r="AF70" s="316">
        <f t="shared" si="53"/>
        <v>0.19449460557841247</v>
      </c>
      <c r="AG70" s="316">
        <f t="shared" si="54"/>
        <v>1.5254087497362789E-5</v>
      </c>
      <c r="AH70" s="316">
        <f t="shared" si="55"/>
        <v>0.80549014033409017</v>
      </c>
      <c r="AI70" s="316">
        <f t="shared" si="56"/>
        <v>0.80550539442158753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48"/>
        <v>1.3146916052819178</v>
      </c>
      <c r="AB71" s="319">
        <f t="shared" si="49"/>
        <v>3.0754332546419292</v>
      </c>
      <c r="AC71" s="319">
        <f t="shared" si="50"/>
        <v>-0.73615213176410843</v>
      </c>
      <c r="AD71" s="320">
        <f t="shared" si="51"/>
        <v>0.99999317196590376</v>
      </c>
      <c r="AE71" s="320">
        <f t="shared" si="52"/>
        <v>0.1489200623297765</v>
      </c>
      <c r="AF71" s="321">
        <f t="shared" si="53"/>
        <v>0.14891323429568026</v>
      </c>
      <c r="AG71" s="321">
        <f t="shared" si="54"/>
        <v>6.8280340962401098E-6</v>
      </c>
      <c r="AH71" s="321">
        <f t="shared" si="55"/>
        <v>0.8510799376702235</v>
      </c>
      <c r="AI71" s="321">
        <f t="shared" si="56"/>
        <v>0.85108676570431974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B7" location="Notes!A189" display="Notes!A189"/>
    <hyperlink ref="V11" location="Notes!A193" display="Notes!A193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5703125" style="14" bestFit="1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0" t="str">
        <f>Notes!A1</f>
        <v>10GEPBud3_1_16a.xls</v>
      </c>
      <c r="S1" s="481"/>
      <c r="T1" s="481"/>
      <c r="U1" s="481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1.1712283788891926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2" t="s">
        <v>268</v>
      </c>
      <c r="K2" s="482"/>
      <c r="L2" s="483" t="s">
        <v>390</v>
      </c>
      <c r="M2" s="484"/>
      <c r="N2" s="144"/>
      <c r="O2" s="6" t="s">
        <v>139</v>
      </c>
      <c r="P2" s="430">
        <v>3.75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1.1712283788891926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3.3000000000000002E-2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0.8168896740562861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0.80470498402590951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2.3E-2</v>
      </c>
      <c r="M4" s="126" t="s">
        <v>9</v>
      </c>
      <c r="N4" s="121"/>
      <c r="O4" s="122" t="s">
        <v>18</v>
      </c>
      <c r="P4" s="201">
        <f>IF(Uc&gt;1000,$P$2/1.4846,$P$2/3.5)</f>
        <v>1.0714285714285714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0.033 km</v>
      </c>
      <c r="Y4" s="96"/>
      <c r="AA4" s="127" t="s">
        <v>24</v>
      </c>
      <c r="AB4" s="204">
        <f>0.7*$P$8*$C$7</f>
        <v>1.8878999999999996E-2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0.80470498402590951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1E-3</v>
      </c>
      <c r="M5" s="136" t="s">
        <v>9</v>
      </c>
      <c r="N5" s="121"/>
      <c r="O5" s="117" t="s">
        <v>139</v>
      </c>
      <c r="P5" s="16">
        <f>$P$4*((1/(0.00094*Uc)^4)+1.05)</f>
        <v>3.8813519134709655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7.5570289016006125E-4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1.5+0.81</f>
        <v>2.31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1.3478705514807549E-3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4.99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-116.65074462890625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69.066283412181605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1.4256790263955856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0.69217845747891438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3.487036069018234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0.91677773138279961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200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0.76142589531461291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39">
        <v>0.15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200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7.7627038269419317E-3</v>
      </c>
      <c r="C17" s="44">
        <f t="shared" ref="C17:C38" si="1">$L$7+B17</f>
        <v>2.3177627038269422</v>
      </c>
      <c r="D17" s="177">
        <f t="shared" ref="D17:D38" si="2">A17*$P$9</f>
        <v>-0.23330148925781252</v>
      </c>
      <c r="E17" s="44">
        <f t="shared" ref="E17:E38" si="3">A17*$AB$4</f>
        <v>3.7757999999999993E-5</v>
      </c>
      <c r="F17" s="130">
        <f t="shared" ref="F17:F38" si="4">(0.187/$C$7)*10^6/(SQRT(D17^2+E17^2))</f>
        <v>2763923.9672807353</v>
      </c>
      <c r="G17" s="45">
        <f t="shared" ref="G17:G38" si="5">$P$13/A17</f>
        <v>100000</v>
      </c>
      <c r="H17" s="46">
        <f t="shared" ref="H17:H38" si="6">SQRT((1000*C_1/F17)^2+(1000*C_1/G17)^2+$G$3^2)</f>
        <v>53.346668686313926</v>
      </c>
      <c r="I17" s="46">
        <f t="shared" ref="I17:I38" si="7">SQRT(H17^2+$T$7^2)</f>
        <v>66.604690394961722</v>
      </c>
      <c r="J17" s="424">
        <f t="shared" ref="J17:J38" si="8">-10*LOG10(2*Z17 - 1)</f>
        <v>0.81836052861357778</v>
      </c>
      <c r="K17" s="251">
        <f t="shared" ref="K17:K38" si="9">-10*LOG10(AB17)-J17</f>
        <v>0.23493218230751656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-2.3798034868459262E-3</v>
      </c>
      <c r="P17" s="44">
        <f t="shared" ref="P17:P38" si="13">($G$10/SQRT(2))*(1-EXP(-1*O17^2))</f>
        <v>1.2013988727014894E-6</v>
      </c>
      <c r="Q17" s="44">
        <f t="shared" ref="Q17:Q38" si="14">10*LOG10(1/SQRT(1-(Q*P17)^2))</f>
        <v>1.5520464842911205E-10</v>
      </c>
      <c r="R17" s="265"/>
      <c r="S17" s="44">
        <f>-10*LOG10(SQRT(1-Q*Q*(((SD_blw/AC17)^2)+AK17+Vmn+(P17*P17))))-$T$13-Q17-R17-Pmn</f>
        <v>4.8330299142934852E-2</v>
      </c>
      <c r="T17" s="209">
        <f>J17+L17+B17+Q17+S17+Pmn</f>
        <v>1.0244535317386592</v>
      </c>
      <c r="U17" s="277">
        <f>J17+K17+B17+Q17+S17+Pmn+M17</f>
        <v>1.2593857140461757</v>
      </c>
      <c r="V17" s="178">
        <f t="shared" ref="V17:V38" si="15">T17-B17</f>
        <v>1.0166908279117173</v>
      </c>
      <c r="W17" s="179">
        <f t="shared" ref="W17:W38" si="16">$L$8-T17</f>
        <v>3.9655464682613411</v>
      </c>
      <c r="X17" s="455">
        <f t="shared" ref="X17:X38" si="17">$C$8-C17-(Q17+N17+R17+S17/2+Pmn) -$W$3</f>
        <v>-7.1088175276099008</v>
      </c>
      <c r="Y17" s="47">
        <f t="shared" ref="Y17:Y38" si="18">B_1*Tb_eff/(SQRT(8)*I17)</f>
        <v>1.2145149339643213</v>
      </c>
      <c r="Z17" s="49">
        <f t="shared" ref="Z17:Z38" si="19">IF(ABS(Y17)&lt;10,SIGN(Y17)*ERF(ABS(Y17)),SIGN(Y17))</f>
        <v>0.91412738636661339</v>
      </c>
      <c r="AA17" s="395">
        <f>$AD17</f>
        <v>0.82825477273322679</v>
      </c>
      <c r="AB17" s="43">
        <f t="shared" ref="AB17:AB38" si="20">ERF(AE17)+ERF(AF17)-1</f>
        <v>0.78464051444293492</v>
      </c>
      <c r="AC17" s="47">
        <f t="shared" ref="AC17:AC38" si="21">ERF(AG17)+ERF(AH17)-1</f>
        <v>0.78464051444293492</v>
      </c>
      <c r="AD17" s="47">
        <f t="shared" ref="AD17:AD38" si="22">ERF(AI17)+ERF(AJ17)-1</f>
        <v>0.82825477273322679</v>
      </c>
      <c r="AE17" s="50">
        <f t="shared" ref="AE17:AE38" si="23">MAX(MIN(B_1*Tb_eff*($L$13+1)/(SQRT(8)*$I17),10),-10)</f>
        <v>1.4783696329483891</v>
      </c>
      <c r="AF17" s="50">
        <f t="shared" ref="AF17:AF38" si="24">MAX(MIN(B_1*Tb_eff*(1-$L$13)/(SQRT(8)*$I17),10),-10)</f>
        <v>0.95066023498025354</v>
      </c>
      <c r="AG17" s="50">
        <f t="shared" ref="AG17:AG38" si="25">MAX(MIN(B_1*Tb_eff*($L$13+$G$9+1)/(SQRT(8)*$I17),10),-10)</f>
        <v>1.4783696329483891</v>
      </c>
      <c r="AH17" s="50">
        <f t="shared" ref="AH17:AH38" si="26">MAX(MIN(B_1*Tb_eff*(1-$L$13-$G$9)/(SQRT(8)*$I17),10),-10)</f>
        <v>0.95066023498025354</v>
      </c>
      <c r="AI17" s="50">
        <f t="shared" ref="AI17:AI38" si="27">MAX(MIN(B_1*Tb_eff*($G$9+1)/(SQRT(8)*$I17),10),-10)</f>
        <v>1.2145149339643213</v>
      </c>
      <c r="AJ17" s="50">
        <f t="shared" ref="AJ17:AJ38" si="28">MAX(MIN(B_1*Tb_eff*(1-$G$9)/(SQRT(8)*$I17),10),-10)</f>
        <v>1.2145149339643213</v>
      </c>
      <c r="AK17" s="305"/>
      <c r="AL17" s="48">
        <f t="shared" ref="AL17:AL38" si="29">$L$6-$L$7</f>
        <v>4.99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2.3E-2</v>
      </c>
      <c r="B18" s="52">
        <f t="shared" si="0"/>
        <v>8.9271094009832214E-2</v>
      </c>
      <c r="C18" s="52">
        <f t="shared" si="1"/>
        <v>2.3992710940098321</v>
      </c>
      <c r="D18" s="180">
        <f t="shared" si="2"/>
        <v>-2.6829671264648436</v>
      </c>
      <c r="E18" s="52">
        <f t="shared" si="3"/>
        <v>4.3421699999999993E-4</v>
      </c>
      <c r="F18" s="53">
        <f t="shared" si="4"/>
        <v>240341.21454615091</v>
      </c>
      <c r="G18" s="53">
        <f t="shared" si="5"/>
        <v>8695.652173913044</v>
      </c>
      <c r="H18" s="54">
        <f t="shared" si="6"/>
        <v>76.640886936357916</v>
      </c>
      <c r="I18" s="54">
        <f t="shared" si="7"/>
        <v>86.395273441739604</v>
      </c>
      <c r="J18" s="425">
        <f t="shared" si="8"/>
        <v>2.0129106466699</v>
      </c>
      <c r="K18" s="252">
        <f t="shared" si="9"/>
        <v>0.2564601980782637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-2.7367740098728149E-2</v>
      </c>
      <c r="P18" s="52">
        <f t="shared" si="13"/>
        <v>1.5882596362596185E-4</v>
      </c>
      <c r="Q18" s="52">
        <f t="shared" si="14"/>
        <v>2.71251836255722E-6</v>
      </c>
      <c r="R18" s="268">
        <f t="shared" ref="R18:R23" si="31">10*LOG10(1/SQRT(1-AK18*(Q/AA18)^2))</f>
        <v>0.13794710093475185</v>
      </c>
      <c r="S18" s="52">
        <f t="shared" ref="S18:S23" si="32">-10*LOG10(AA18*SQRT(1-Q*Q*((SD_blw^2+AK18)/AA18^2+Vmn+(P18*P18))))-$T$13-J18-L18-Q18-N18-R18-Pmn</f>
        <v>0.14241936162153571</v>
      </c>
      <c r="T18" s="282">
        <f t="shared" ref="T18:T38" si="33">J18+L18+B18+Q18+N18+R18+S18+Pmn</f>
        <v>2.5325509157543817</v>
      </c>
      <c r="U18" s="278">
        <f t="shared" ref="U18:U38" si="34">J18+K18+B18+Q18+N18+R18+S18+Pmn+M18</f>
        <v>2.7890111138326454</v>
      </c>
      <c r="V18" s="181">
        <f t="shared" si="15"/>
        <v>2.4432798217445497</v>
      </c>
      <c r="W18" s="182">
        <f t="shared" si="16"/>
        <v>2.4574490842456185</v>
      </c>
      <c r="X18" s="456">
        <f t="shared" si="17"/>
        <v>-7.3753202623300007</v>
      </c>
      <c r="Y18" s="59">
        <f t="shared" si="18"/>
        <v>0.93630574838449387</v>
      </c>
      <c r="Z18" s="60">
        <f t="shared" si="19"/>
        <v>0.81454221421353912</v>
      </c>
      <c r="AA18" s="300">
        <f t="shared" ref="AA18:AA38" si="35">$AD18*(1-2*$L$10*10^(-$C18/10)*$AB$5*SQRT(2*ER*($AD18*(ER-1)+ER+1))/($AD18*(ER-1)))</f>
        <v>0.62908442842707823</v>
      </c>
      <c r="AB18" s="56">
        <f t="shared" si="20"/>
        <v>0.5930112269158001</v>
      </c>
      <c r="AC18" s="55">
        <f t="shared" si="21"/>
        <v>0.5930112269158001</v>
      </c>
      <c r="AD18" s="55">
        <f t="shared" si="22"/>
        <v>0.62908442842707823</v>
      </c>
      <c r="AE18" s="61">
        <f t="shared" si="23"/>
        <v>1.1397191972341072</v>
      </c>
      <c r="AF18" s="61">
        <f t="shared" si="24"/>
        <v>0.73289229953488066</v>
      </c>
      <c r="AG18" s="61">
        <f t="shared" si="25"/>
        <v>1.1397191972341072</v>
      </c>
      <c r="AH18" s="61">
        <f t="shared" si="26"/>
        <v>0.73289229953488066</v>
      </c>
      <c r="AI18" s="61">
        <f t="shared" si="27"/>
        <v>0.93630574838449387</v>
      </c>
      <c r="AJ18" s="61">
        <f t="shared" si="28"/>
        <v>0.93630574838449387</v>
      </c>
      <c r="AK18" s="306">
        <f t="shared" ref="AK18:AK23" si="36">kRIN*10^6*$AK$7*$AK$7/(SQRT((1/F18)^2+(1/G18)^2+0.477*(1/$T$5)^2))*10^($G$4/10)</f>
        <v>4.9190285853914864E-4</v>
      </c>
      <c r="AL18" s="57">
        <f t="shared" si="29"/>
        <v>4.99</v>
      </c>
      <c r="AM18" s="190">
        <f t="shared" ref="AM18:AM38" si="37">$L$3</f>
        <v>3.3000000000000002E-2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2.4E-2</v>
      </c>
      <c r="B19" s="64">
        <f t="shared" si="0"/>
        <v>9.315244592330317E-2</v>
      </c>
      <c r="C19" s="64">
        <f t="shared" si="1"/>
        <v>2.4031524459233031</v>
      </c>
      <c r="D19" s="183">
        <f t="shared" si="2"/>
        <v>-2.79961787109375</v>
      </c>
      <c r="E19" s="64">
        <f t="shared" si="3"/>
        <v>4.5309599999999995E-4</v>
      </c>
      <c r="F19" s="65">
        <f t="shared" si="4"/>
        <v>230326.99727339461</v>
      </c>
      <c r="G19" s="65">
        <f t="shared" si="5"/>
        <v>8333.3333333333339</v>
      </c>
      <c r="H19" s="66">
        <f t="shared" si="6"/>
        <v>78.38941210098416</v>
      </c>
      <c r="I19" s="66">
        <f t="shared" si="7"/>
        <v>87.95008614105663</v>
      </c>
      <c r="J19" s="426">
        <f t="shared" si="8"/>
        <v>2.1232939199539418</v>
      </c>
      <c r="K19" s="253">
        <f t="shared" si="9"/>
        <v>0.25712873791799407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-2.8557641842151111E-2</v>
      </c>
      <c r="P19" s="64">
        <f t="shared" si="13"/>
        <v>1.7293140183430392E-4</v>
      </c>
      <c r="Q19" s="64">
        <f t="shared" si="14"/>
        <v>3.215714347753734E-6</v>
      </c>
      <c r="R19" s="271">
        <f t="shared" si="31"/>
        <v>0.14120443116470013</v>
      </c>
      <c r="S19" s="64">
        <f t="shared" si="32"/>
        <v>0.15422418408541574</v>
      </c>
      <c r="T19" s="344">
        <f t="shared" si="33"/>
        <v>2.6618781968417085</v>
      </c>
      <c r="U19" s="279">
        <f t="shared" si="34"/>
        <v>2.9190069347597025</v>
      </c>
      <c r="V19" s="168">
        <f t="shared" si="15"/>
        <v>2.5687257509184054</v>
      </c>
      <c r="W19" s="184">
        <f t="shared" si="16"/>
        <v>2.3281218031582918</v>
      </c>
      <c r="X19" s="457">
        <f t="shared" si="17"/>
        <v>-7.3883618589013444</v>
      </c>
      <c r="Y19" s="72">
        <f t="shared" si="18"/>
        <v>0.91975340452780996</v>
      </c>
      <c r="Z19" s="73">
        <f t="shared" si="19"/>
        <v>0.80664833597967123</v>
      </c>
      <c r="AA19" s="301">
        <f t="shared" si="35"/>
        <v>0.61329667195934245</v>
      </c>
      <c r="AB19" s="69">
        <f t="shared" si="20"/>
        <v>0.57803978950555202</v>
      </c>
      <c r="AC19" s="68">
        <f t="shared" si="21"/>
        <v>0.57803978950555202</v>
      </c>
      <c r="AD19" s="68">
        <f t="shared" si="22"/>
        <v>0.61329667195934245</v>
      </c>
      <c r="AE19" s="23">
        <f t="shared" si="23"/>
        <v>1.1195708385540153</v>
      </c>
      <c r="AF19" s="23">
        <f t="shared" si="24"/>
        <v>0.71993597050160474</v>
      </c>
      <c r="AG19" s="23">
        <f t="shared" si="25"/>
        <v>1.1195708385540153</v>
      </c>
      <c r="AH19" s="23">
        <f t="shared" si="26"/>
        <v>0.71993597050160474</v>
      </c>
      <c r="AI19" s="23">
        <f t="shared" si="27"/>
        <v>0.91975340452780996</v>
      </c>
      <c r="AJ19" s="23">
        <f t="shared" si="28"/>
        <v>0.91975340452780996</v>
      </c>
      <c r="AK19" s="295">
        <f t="shared" si="36"/>
        <v>4.7820729359973754E-4</v>
      </c>
      <c r="AL19" s="70">
        <f t="shared" si="29"/>
        <v>4.99</v>
      </c>
      <c r="AM19" s="191">
        <f t="shared" si="37"/>
        <v>3.3000000000000002E-2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2.5000000000000001E-2</v>
      </c>
      <c r="B20" s="64">
        <f t="shared" si="0"/>
        <v>9.7033797836774155E-2</v>
      </c>
      <c r="C20" s="64">
        <f t="shared" si="1"/>
        <v>2.4070337978367742</v>
      </c>
      <c r="D20" s="183">
        <f t="shared" si="2"/>
        <v>-2.9162686157226565</v>
      </c>
      <c r="E20" s="64">
        <f t="shared" si="3"/>
        <v>4.7197499999999991E-4</v>
      </c>
      <c r="F20" s="65">
        <f t="shared" si="4"/>
        <v>221113.91738245881</v>
      </c>
      <c r="G20" s="65">
        <f t="shared" si="5"/>
        <v>8000</v>
      </c>
      <c r="H20" s="66">
        <f t="shared" si="6"/>
        <v>80.171749317623835</v>
      </c>
      <c r="I20" s="66">
        <f t="shared" si="7"/>
        <v>89.542320225295015</v>
      </c>
      <c r="J20" s="426">
        <f t="shared" si="8"/>
        <v>2.2386725383765431</v>
      </c>
      <c r="K20" s="253">
        <f t="shared" si="9"/>
        <v>0.25778850935868292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-2.9747543585574077E-2</v>
      </c>
      <c r="P20" s="64">
        <f t="shared" si="13"/>
        <v>1.876360720695054E-4</v>
      </c>
      <c r="Q20" s="64">
        <f t="shared" si="14"/>
        <v>3.7858418014890418E-6</v>
      </c>
      <c r="R20" s="271">
        <f t="shared" si="31"/>
        <v>0.14494598704198836</v>
      </c>
      <c r="S20" s="64">
        <f t="shared" si="32"/>
        <v>0.16736719052275575</v>
      </c>
      <c r="T20" s="344">
        <f t="shared" si="33"/>
        <v>2.7980232996198628</v>
      </c>
      <c r="U20" s="279">
        <f t="shared" si="34"/>
        <v>3.0558118089785458</v>
      </c>
      <c r="V20" s="168">
        <f t="shared" si="15"/>
        <v>2.7009895017830887</v>
      </c>
      <c r="W20" s="184">
        <f t="shared" si="16"/>
        <v>2.1919767003801374</v>
      </c>
      <c r="X20" s="457">
        <f t="shared" si="17"/>
        <v>-7.4025568400382271</v>
      </c>
      <c r="Y20" s="72">
        <f t="shared" si="18"/>
        <v>0.90339842605395793</v>
      </c>
      <c r="Z20" s="73">
        <f t="shared" si="19"/>
        <v>0.79860890194244294</v>
      </c>
      <c r="AA20" s="301">
        <f t="shared" si="35"/>
        <v>0.59721780388488588</v>
      </c>
      <c r="AB20" s="69">
        <f t="shared" si="20"/>
        <v>0.56279974919744347</v>
      </c>
      <c r="AC20" s="68">
        <f t="shared" si="21"/>
        <v>0.56279974919744347</v>
      </c>
      <c r="AD20" s="68">
        <f t="shared" si="22"/>
        <v>0.59721780388488588</v>
      </c>
      <c r="AE20" s="23">
        <f t="shared" si="23"/>
        <v>1.0996627231022396</v>
      </c>
      <c r="AF20" s="23">
        <f t="shared" si="24"/>
        <v>0.70713412900567629</v>
      </c>
      <c r="AG20" s="23">
        <f t="shared" si="25"/>
        <v>1.0996627231022396</v>
      </c>
      <c r="AH20" s="23">
        <f t="shared" si="26"/>
        <v>0.70713412900567629</v>
      </c>
      <c r="AI20" s="23">
        <f t="shared" si="27"/>
        <v>0.90339842605395793</v>
      </c>
      <c r="AJ20" s="23">
        <f t="shared" si="28"/>
        <v>0.90339842605395793</v>
      </c>
      <c r="AK20" s="295">
        <f t="shared" si="36"/>
        <v>4.6508067625536061E-4</v>
      </c>
      <c r="AL20" s="70">
        <f t="shared" si="29"/>
        <v>4.99</v>
      </c>
      <c r="AM20" s="191">
        <f t="shared" si="37"/>
        <v>3.3000000000000002E-2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2.6000000000000002E-2</v>
      </c>
      <c r="B21" s="64">
        <f t="shared" si="0"/>
        <v>0.10091514975024511</v>
      </c>
      <c r="C21" s="64">
        <f t="shared" si="1"/>
        <v>2.4109151497502452</v>
      </c>
      <c r="D21" s="183">
        <f t="shared" si="2"/>
        <v>-3.032919360351563</v>
      </c>
      <c r="E21" s="64">
        <f t="shared" si="3"/>
        <v>4.9085399999999999E-4</v>
      </c>
      <c r="F21" s="65">
        <f t="shared" si="4"/>
        <v>212609.53594467192</v>
      </c>
      <c r="G21" s="65">
        <f t="shared" si="5"/>
        <v>7692.3076923076915</v>
      </c>
      <c r="H21" s="66">
        <f t="shared" si="6"/>
        <v>81.985693433193504</v>
      </c>
      <c r="I21" s="66">
        <f t="shared" si="7"/>
        <v>91.170015083924099</v>
      </c>
      <c r="J21" s="426">
        <f t="shared" si="8"/>
        <v>2.3590673999031373</v>
      </c>
      <c r="K21" s="253">
        <f t="shared" si="9"/>
        <v>0.25845766376694801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-3.0937445328997042E-2</v>
      </c>
      <c r="P21" s="64">
        <f t="shared" si="13"/>
        <v>2.0293984948340353E-4</v>
      </c>
      <c r="Q21" s="64">
        <f t="shared" si="14"/>
        <v>4.4285803470263328E-6</v>
      </c>
      <c r="R21" s="271">
        <f t="shared" si="31"/>
        <v>0.14921131947091698</v>
      </c>
      <c r="S21" s="64">
        <f t="shared" si="32"/>
        <v>0.18202044204518877</v>
      </c>
      <c r="T21" s="344">
        <f t="shared" si="33"/>
        <v>2.9412187397498353</v>
      </c>
      <c r="U21" s="279">
        <f t="shared" si="34"/>
        <v>3.1996764035167833</v>
      </c>
      <c r="V21" s="168">
        <f t="shared" si="15"/>
        <v>2.8403035899995901</v>
      </c>
      <c r="W21" s="184">
        <f t="shared" si="16"/>
        <v>2.0487812602501649</v>
      </c>
      <c r="X21" s="457">
        <f t="shared" si="17"/>
        <v>-7.4180307928803897</v>
      </c>
      <c r="Y21" s="72">
        <f t="shared" si="18"/>
        <v>0.88726969149108614</v>
      </c>
      <c r="Z21" s="73">
        <f t="shared" si="19"/>
        <v>0.79044457187282635</v>
      </c>
      <c r="AA21" s="301">
        <f t="shared" si="35"/>
        <v>0.5808891437456527</v>
      </c>
      <c r="AB21" s="69">
        <f t="shared" si="20"/>
        <v>0.54732778253853831</v>
      </c>
      <c r="AC21" s="68">
        <f t="shared" si="21"/>
        <v>0.54732778253853831</v>
      </c>
      <c r="AD21" s="68">
        <f t="shared" si="22"/>
        <v>0.5808891437456527</v>
      </c>
      <c r="AE21" s="23">
        <f t="shared" si="23"/>
        <v>1.0800300032987833</v>
      </c>
      <c r="AF21" s="23">
        <f t="shared" si="24"/>
        <v>0.69450937968338899</v>
      </c>
      <c r="AG21" s="23">
        <f t="shared" si="25"/>
        <v>1.0800300032987833</v>
      </c>
      <c r="AH21" s="23">
        <f t="shared" si="26"/>
        <v>0.69450937968338899</v>
      </c>
      <c r="AI21" s="23">
        <f t="shared" si="27"/>
        <v>0.88726969149108614</v>
      </c>
      <c r="AJ21" s="23">
        <f t="shared" si="28"/>
        <v>0.88726969149108614</v>
      </c>
      <c r="AK21" s="295">
        <f t="shared" si="36"/>
        <v>4.5250478831736023E-4</v>
      </c>
      <c r="AL21" s="70">
        <f t="shared" si="29"/>
        <v>4.99</v>
      </c>
      <c r="AM21" s="191">
        <f t="shared" si="37"/>
        <v>3.3000000000000002E-2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2.7000000000000003E-2</v>
      </c>
      <c r="B22" s="64">
        <f t="shared" si="0"/>
        <v>0.10479650166371608</v>
      </c>
      <c r="C22" s="64">
        <f t="shared" si="1"/>
        <v>2.4147965016637163</v>
      </c>
      <c r="D22" s="183">
        <f t="shared" si="2"/>
        <v>-3.1495701049804694</v>
      </c>
      <c r="E22" s="64">
        <f t="shared" si="3"/>
        <v>5.0973299999999995E-4</v>
      </c>
      <c r="F22" s="65">
        <f t="shared" si="4"/>
        <v>204735.10868746182</v>
      </c>
      <c r="G22" s="65">
        <f t="shared" si="5"/>
        <v>7407.4074074074069</v>
      </c>
      <c r="H22" s="66">
        <f t="shared" si="6"/>
        <v>83.829192688221283</v>
      </c>
      <c r="I22" s="66">
        <f t="shared" si="7"/>
        <v>92.831305438630409</v>
      </c>
      <c r="J22" s="426">
        <f t="shared" si="8"/>
        <v>2.4845081576283352</v>
      </c>
      <c r="K22" s="253">
        <f t="shared" si="9"/>
        <v>0.25915578781183335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-3.2127347072420008E-2</v>
      </c>
      <c r="P22" s="64">
        <f t="shared" si="13"/>
        <v>2.1884260414740099E-4</v>
      </c>
      <c r="Q22" s="64">
        <f t="shared" si="14"/>
        <v>5.1498393438388755E-6</v>
      </c>
      <c r="R22" s="271">
        <f t="shared" si="31"/>
        <v>0.15404610042380257</v>
      </c>
      <c r="S22" s="64">
        <f t="shared" si="32"/>
        <v>0.1983863677866867</v>
      </c>
      <c r="T22" s="344">
        <f t="shared" si="33"/>
        <v>3.0917422773418846</v>
      </c>
      <c r="U22" s="279">
        <f t="shared" si="34"/>
        <v>3.3508980651537179</v>
      </c>
      <c r="V22" s="168">
        <f t="shared" si="15"/>
        <v>2.9869457756781683</v>
      </c>
      <c r="W22" s="184">
        <f t="shared" si="16"/>
        <v>1.8982577226581157</v>
      </c>
      <c r="X22" s="457">
        <f t="shared" si="17"/>
        <v>-7.434930609876492</v>
      </c>
      <c r="Y22" s="72">
        <f t="shared" si="18"/>
        <v>0.87139129170415397</v>
      </c>
      <c r="Z22" s="73">
        <f t="shared" si="19"/>
        <v>0.78217542548150387</v>
      </c>
      <c r="AA22" s="301">
        <f t="shared" si="35"/>
        <v>0.56435085096300774</v>
      </c>
      <c r="AB22" s="69">
        <f t="shared" si="20"/>
        <v>0.53165953298968627</v>
      </c>
      <c r="AC22" s="68">
        <f t="shared" si="21"/>
        <v>0.53165953298968627</v>
      </c>
      <c r="AD22" s="68">
        <f t="shared" si="22"/>
        <v>0.56435085096300774</v>
      </c>
      <c r="AE22" s="23">
        <f t="shared" si="23"/>
        <v>1.0607020037753914</v>
      </c>
      <c r="AF22" s="23">
        <f t="shared" si="24"/>
        <v>0.68208057963291657</v>
      </c>
      <c r="AG22" s="23">
        <f t="shared" si="25"/>
        <v>1.0607020037753914</v>
      </c>
      <c r="AH22" s="23">
        <f t="shared" si="26"/>
        <v>0.68208057963291657</v>
      </c>
      <c r="AI22" s="23">
        <f t="shared" si="27"/>
        <v>0.87139129170415397</v>
      </c>
      <c r="AJ22" s="23">
        <f t="shared" si="28"/>
        <v>0.87139129170415397</v>
      </c>
      <c r="AK22" s="295">
        <f t="shared" si="36"/>
        <v>4.4045963427086535E-4</v>
      </c>
      <c r="AL22" s="70">
        <f t="shared" si="29"/>
        <v>4.99</v>
      </c>
      <c r="AM22" s="191">
        <f t="shared" si="37"/>
        <v>3.3000000000000002E-2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2.8000000000000004E-2</v>
      </c>
      <c r="B23" s="52">
        <f t="shared" si="0"/>
        <v>0.10867785357718705</v>
      </c>
      <c r="C23" s="52">
        <f t="shared" si="1"/>
        <v>2.4186778535771869</v>
      </c>
      <c r="D23" s="180">
        <f t="shared" si="2"/>
        <v>-3.2662208496093754</v>
      </c>
      <c r="E23" s="52">
        <f t="shared" si="3"/>
        <v>5.2861200000000003E-4</v>
      </c>
      <c r="F23" s="53">
        <f t="shared" si="4"/>
        <v>197423.14052005252</v>
      </c>
      <c r="G23" s="53">
        <f t="shared" si="5"/>
        <v>7142.8571428571422</v>
      </c>
      <c r="H23" s="54">
        <f t="shared" si="6"/>
        <v>85.700339822896552</v>
      </c>
      <c r="I23" s="54">
        <f t="shared" si="7"/>
        <v>94.524419958237814</v>
      </c>
      <c r="J23" s="425">
        <f t="shared" si="8"/>
        <v>2.6150352667898655</v>
      </c>
      <c r="K23" s="252">
        <f t="shared" si="9"/>
        <v>0.25990376664570958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-3.331724881584297E-2</v>
      </c>
      <c r="P23" s="52">
        <f t="shared" si="13"/>
        <v>2.3534420105423228E-4</v>
      </c>
      <c r="Q23" s="52">
        <f t="shared" si="14"/>
        <v>5.9557576405070715E-6</v>
      </c>
      <c r="R23" s="268">
        <f t="shared" si="31"/>
        <v>0.15950329302984315</v>
      </c>
      <c r="S23" s="52">
        <f t="shared" si="32"/>
        <v>0.21670456536351038</v>
      </c>
      <c r="T23" s="282">
        <f t="shared" si="33"/>
        <v>3.2499269345180459</v>
      </c>
      <c r="U23" s="278">
        <f t="shared" si="34"/>
        <v>3.5098307011637555</v>
      </c>
      <c r="V23" s="181">
        <f t="shared" si="15"/>
        <v>3.1412490809408591</v>
      </c>
      <c r="W23" s="182">
        <f t="shared" si="16"/>
        <v>1.7400730654819543</v>
      </c>
      <c r="X23" s="456">
        <f t="shared" si="17"/>
        <v>-7.4534290591027119</v>
      </c>
      <c r="Y23" s="59">
        <f t="shared" si="18"/>
        <v>0.85578299441023131</v>
      </c>
      <c r="Z23" s="60">
        <f t="shared" si="19"/>
        <v>0.77382082691579135</v>
      </c>
      <c r="AA23" s="300">
        <f t="shared" si="35"/>
        <v>0.5476416538315827</v>
      </c>
      <c r="AB23" s="56">
        <f t="shared" si="20"/>
        <v>0.51582940627091722</v>
      </c>
      <c r="AC23" s="55">
        <f t="shared" si="21"/>
        <v>0.51582940627091722</v>
      </c>
      <c r="AD23" s="55">
        <f t="shared" si="22"/>
        <v>0.5476416538315827</v>
      </c>
      <c r="AE23" s="61">
        <f t="shared" si="23"/>
        <v>1.0417027868073079</v>
      </c>
      <c r="AF23" s="61">
        <f t="shared" si="24"/>
        <v>0.66986320201315475</v>
      </c>
      <c r="AG23" s="61">
        <f t="shared" si="25"/>
        <v>1.0417027868073079</v>
      </c>
      <c r="AH23" s="61">
        <f t="shared" si="26"/>
        <v>0.66986320201315475</v>
      </c>
      <c r="AI23" s="61">
        <f t="shared" si="27"/>
        <v>0.85578299441023131</v>
      </c>
      <c r="AJ23" s="61">
        <f t="shared" si="28"/>
        <v>0.85578299441023131</v>
      </c>
      <c r="AK23" s="306">
        <f t="shared" si="36"/>
        <v>4.2892413447946089E-4</v>
      </c>
      <c r="AL23" s="57">
        <f t="shared" si="29"/>
        <v>4.99</v>
      </c>
      <c r="AM23" s="190">
        <f t="shared" si="37"/>
        <v>3.3000000000000002E-2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2.9000000000000005E-2</v>
      </c>
      <c r="B24" s="64">
        <f t="shared" si="0"/>
        <v>0.11255920549065802</v>
      </c>
      <c r="C24" s="64">
        <f t="shared" si="1"/>
        <v>2.422559205490658</v>
      </c>
      <c r="D24" s="183">
        <f t="shared" si="2"/>
        <v>-3.3828715942382819</v>
      </c>
      <c r="E24" s="64">
        <f t="shared" si="3"/>
        <v>5.4749099999999999E-4</v>
      </c>
      <c r="F24" s="65">
        <f t="shared" si="4"/>
        <v>190615.44601936103</v>
      </c>
      <c r="G24" s="65">
        <f t="shared" si="5"/>
        <v>6896.5517241379303</v>
      </c>
      <c r="H24" s="66">
        <f t="shared" si="6"/>
        <v>87.597363115134002</v>
      </c>
      <c r="I24" s="66">
        <f t="shared" si="7"/>
        <v>96.247679179323583</v>
      </c>
      <c r="J24" s="426">
        <f t="shared" si="8"/>
        <v>2.7507020876943211</v>
      </c>
      <c r="K24" s="253">
        <f t="shared" si="9"/>
        <v>0.26072370569374259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-3.4507150559265932E-2</v>
      </c>
      <c r="P24" s="64">
        <f t="shared" si="13"/>
        <v>2.5244450011980077E-4</v>
      </c>
      <c r="Q24" s="64">
        <f t="shared" si="14"/>
        <v>6.8527033168622789E-6</v>
      </c>
      <c r="R24" s="271">
        <f t="shared" ref="R24:R37" si="44">10*LOG10(1/SQRT(1-AK24*(Q/AA24)^2))</f>
        <v>0.16564453611720525</v>
      </c>
      <c r="S24" s="64">
        <f t="shared" ref="S24:S37" si="45">-10*LOG10(AA24*SQRT(1-Q*Q*((SD_blw^2+AK24)/AA24^2+Vmn+(P24*P24))))-$T$13-J24-L24-Q24-N24-R24-Pmn</f>
        <v>0.23726049425548254</v>
      </c>
      <c r="T24" s="344">
        <f t="shared" si="33"/>
        <v>3.4161731762609833</v>
      </c>
      <c r="U24" s="279">
        <f t="shared" si="34"/>
        <v>3.6768968819547259</v>
      </c>
      <c r="V24" s="168">
        <f t="shared" si="15"/>
        <v>3.3036139707703254</v>
      </c>
      <c r="W24" s="184">
        <f t="shared" si="16"/>
        <v>1.5738268237390169</v>
      </c>
      <c r="X24" s="457">
        <f t="shared" si="17"/>
        <v>-7.4737305154952072</v>
      </c>
      <c r="Y24" s="72">
        <f t="shared" si="18"/>
        <v>0.84046069314602967</v>
      </c>
      <c r="Z24" s="73">
        <f t="shared" si="19"/>
        <v>0.76539931375208115</v>
      </c>
      <c r="AA24" s="301">
        <f t="shared" si="35"/>
        <v>0.53079862750416229</v>
      </c>
      <c r="AB24" s="69">
        <f t="shared" si="20"/>
        <v>0.49987040005336558</v>
      </c>
      <c r="AC24" s="68">
        <f t="shared" si="21"/>
        <v>0.49987040005336558</v>
      </c>
      <c r="AD24" s="68">
        <f t="shared" si="22"/>
        <v>0.53079862750416229</v>
      </c>
      <c r="AE24" s="23">
        <f t="shared" si="23"/>
        <v>1.023051698819494</v>
      </c>
      <c r="AF24" s="23">
        <f t="shared" si="24"/>
        <v>0.65786968747256536</v>
      </c>
      <c r="AG24" s="23">
        <f t="shared" si="25"/>
        <v>1.023051698819494</v>
      </c>
      <c r="AH24" s="23">
        <f t="shared" si="26"/>
        <v>0.65786968747256536</v>
      </c>
      <c r="AI24" s="23">
        <f t="shared" si="27"/>
        <v>0.84046069314602967</v>
      </c>
      <c r="AJ24" s="23">
        <f t="shared" si="28"/>
        <v>0.84046069314602967</v>
      </c>
      <c r="AK24" s="295">
        <f t="shared" ref="AK24:AK38" si="46">kRIN*10^6*$AK$7*$AK$7/(SQRT((1/F24)^2+(1/G24)^2+0.477*(1/$T$5)^2))*10^($G$4/10)</f>
        <v>4.1787666372477308E-4</v>
      </c>
      <c r="AL24" s="70">
        <f t="shared" si="29"/>
        <v>4.99</v>
      </c>
      <c r="AM24" s="191">
        <f t="shared" si="37"/>
        <v>3.3000000000000002E-2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3.0000000000000006E-2</v>
      </c>
      <c r="B25" s="64">
        <f t="shared" si="0"/>
        <v>0.11644055740412898</v>
      </c>
      <c r="C25" s="64">
        <f t="shared" si="1"/>
        <v>2.426440557404129</v>
      </c>
      <c r="D25" s="183">
        <f t="shared" si="2"/>
        <v>-3.4995223388671883</v>
      </c>
      <c r="E25" s="64">
        <f t="shared" si="3"/>
        <v>5.6636999999999996E-4</v>
      </c>
      <c r="F25" s="65">
        <f t="shared" si="4"/>
        <v>184261.59781871564</v>
      </c>
      <c r="G25" s="65">
        <f t="shared" si="5"/>
        <v>6666.6666666666652</v>
      </c>
      <c r="H25" s="66">
        <f t="shared" si="6"/>
        <v>89.518617525367333</v>
      </c>
      <c r="I25" s="66">
        <f t="shared" si="7"/>
        <v>97.999492888148978</v>
      </c>
      <c r="J25" s="426">
        <f t="shared" si="8"/>
        <v>2.8915770638798599</v>
      </c>
      <c r="K25" s="253">
        <f t="shared" si="9"/>
        <v>0.26163891481631696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-3.5697052302688902E-2</v>
      </c>
      <c r="P25" s="64">
        <f t="shared" si="13"/>
        <v>2.701433561852983E-4</v>
      </c>
      <c r="Q25" s="64">
        <f t="shared" si="14"/>
        <v>7.8472734163304745E-6</v>
      </c>
      <c r="R25" s="271">
        <f t="shared" si="44"/>
        <v>0.17254180682717513</v>
      </c>
      <c r="S25" s="64">
        <f t="shared" si="45"/>
        <v>0.2603967116720316</v>
      </c>
      <c r="T25" s="344">
        <f t="shared" si="33"/>
        <v>3.5909639870566119</v>
      </c>
      <c r="U25" s="279">
        <f t="shared" si="34"/>
        <v>3.8526029018729289</v>
      </c>
      <c r="V25" s="168">
        <f t="shared" si="15"/>
        <v>3.474523429652483</v>
      </c>
      <c r="W25" s="184">
        <f t="shared" si="16"/>
        <v>1.3990360129433883</v>
      </c>
      <c r="X25" s="457">
        <f t="shared" si="17"/>
        <v>-7.4960782413970222</v>
      </c>
      <c r="Y25" s="72">
        <f t="shared" si="18"/>
        <v>0.82543683413828439</v>
      </c>
      <c r="Z25" s="73">
        <f t="shared" si="19"/>
        <v>0.75692850978846005</v>
      </c>
      <c r="AA25" s="301">
        <f t="shared" si="35"/>
        <v>0.51385701957692009</v>
      </c>
      <c r="AB25" s="69">
        <f t="shared" si="20"/>
        <v>0.48381396753305195</v>
      </c>
      <c r="AC25" s="68">
        <f t="shared" si="21"/>
        <v>0.48381396753305195</v>
      </c>
      <c r="AD25" s="68">
        <f t="shared" si="22"/>
        <v>0.51385701957692009</v>
      </c>
      <c r="AE25" s="23">
        <f t="shared" si="23"/>
        <v>1.0047638899950688</v>
      </c>
      <c r="AF25" s="23">
        <f t="shared" si="24"/>
        <v>0.64610977828149974</v>
      </c>
      <c r="AG25" s="23">
        <f t="shared" si="25"/>
        <v>1.0047638899950688</v>
      </c>
      <c r="AH25" s="23">
        <f t="shared" si="26"/>
        <v>0.64610977828149974</v>
      </c>
      <c r="AI25" s="23">
        <f t="shared" si="27"/>
        <v>0.82543683413828439</v>
      </c>
      <c r="AJ25" s="23">
        <f t="shared" si="28"/>
        <v>0.82543683413828439</v>
      </c>
      <c r="AK25" s="295">
        <f t="shared" si="46"/>
        <v>4.0729546416841265E-4</v>
      </c>
      <c r="AL25" s="70">
        <f t="shared" si="29"/>
        <v>4.99</v>
      </c>
      <c r="AM25" s="191">
        <f t="shared" si="37"/>
        <v>3.3000000000000002E-2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3.1000000000000007E-2</v>
      </c>
      <c r="B26" s="64">
        <f t="shared" si="0"/>
        <v>0.12032190931759998</v>
      </c>
      <c r="C26" s="64">
        <f t="shared" si="1"/>
        <v>2.4303219093176001</v>
      </c>
      <c r="D26" s="183">
        <f t="shared" si="2"/>
        <v>-3.6161730834960948</v>
      </c>
      <c r="E26" s="64">
        <f t="shared" si="3"/>
        <v>5.8524900000000003E-4</v>
      </c>
      <c r="F26" s="65">
        <f t="shared" si="4"/>
        <v>178317.6753084345</v>
      </c>
      <c r="G26" s="65">
        <f t="shared" si="5"/>
        <v>6451.612903225805</v>
      </c>
      <c r="H26" s="66">
        <f t="shared" si="6"/>
        <v>91.462576076475358</v>
      </c>
      <c r="I26" s="66">
        <f t="shared" si="7"/>
        <v>99.778357098252528</v>
      </c>
      <c r="J26" s="426">
        <f t="shared" si="8"/>
        <v>3.0377460042473685</v>
      </c>
      <c r="K26" s="253">
        <f t="shared" si="9"/>
        <v>0.26267395824227169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-3.6886954046111864E-2</v>
      </c>
      <c r="P26" s="64">
        <f t="shared" si="13"/>
        <v>2.8844061901920704E-4</v>
      </c>
      <c r="Q26" s="64">
        <f t="shared" si="14"/>
        <v>8.9462936703928102E-6</v>
      </c>
      <c r="R26" s="271">
        <f t="shared" si="44"/>
        <v>0.18027944222874609</v>
      </c>
      <c r="S26" s="64">
        <f t="shared" si="45"/>
        <v>0.28652756953465841</v>
      </c>
      <c r="T26" s="344">
        <f t="shared" si="33"/>
        <v>3.7748838716220434</v>
      </c>
      <c r="U26" s="279">
        <f t="shared" si="34"/>
        <v>4.0375578298643156</v>
      </c>
      <c r="V26" s="168">
        <f t="shared" si="15"/>
        <v>3.6545619623044434</v>
      </c>
      <c r="W26" s="184">
        <f t="shared" si="16"/>
        <v>1.2151161283779568</v>
      </c>
      <c r="X26" s="457">
        <f t="shared" si="17"/>
        <v>-7.5207637566636318</v>
      </c>
      <c r="Y26" s="72">
        <f t="shared" si="18"/>
        <v>0.81072081671073848</v>
      </c>
      <c r="Z26" s="73">
        <f t="shared" si="19"/>
        <v>0.74842506030183298</v>
      </c>
      <c r="AA26" s="301">
        <f t="shared" si="35"/>
        <v>0.49685012060366596</v>
      </c>
      <c r="AB26" s="69">
        <f t="shared" si="20"/>
        <v>0.46768991351538092</v>
      </c>
      <c r="AC26" s="68">
        <f t="shared" si="21"/>
        <v>0.46768991351538092</v>
      </c>
      <c r="AD26" s="68">
        <f t="shared" si="22"/>
        <v>0.49685012060366596</v>
      </c>
      <c r="AE26" s="23">
        <f t="shared" si="23"/>
        <v>0.98685080167114869</v>
      </c>
      <c r="AF26" s="23">
        <f t="shared" si="24"/>
        <v>0.63459083175032827</v>
      </c>
      <c r="AG26" s="23">
        <f t="shared" si="25"/>
        <v>0.98685080167114869</v>
      </c>
      <c r="AH26" s="23">
        <f t="shared" si="26"/>
        <v>0.63459083175032827</v>
      </c>
      <c r="AI26" s="23">
        <f t="shared" si="27"/>
        <v>0.81072081671073848</v>
      </c>
      <c r="AJ26" s="23">
        <f t="shared" si="28"/>
        <v>0.81072081671073848</v>
      </c>
      <c r="AK26" s="295">
        <f t="shared" si="46"/>
        <v>3.9715895723400213E-4</v>
      </c>
      <c r="AL26" s="70">
        <f t="shared" si="29"/>
        <v>4.99</v>
      </c>
      <c r="AM26" s="191">
        <f t="shared" si="37"/>
        <v>3.3000000000000002E-2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3.2000000000000008E-2</v>
      </c>
      <c r="B27" s="64">
        <f t="shared" si="0"/>
        <v>0.12420326123107094</v>
      </c>
      <c r="C27" s="64">
        <f t="shared" si="1"/>
        <v>2.4342032612310711</v>
      </c>
      <c r="D27" s="183">
        <f t="shared" si="2"/>
        <v>-3.7328238281250008</v>
      </c>
      <c r="E27" s="64">
        <f t="shared" si="3"/>
        <v>6.04128E-4</v>
      </c>
      <c r="F27" s="65">
        <f t="shared" si="4"/>
        <v>172745.24795504592</v>
      </c>
      <c r="G27" s="65">
        <f t="shared" si="5"/>
        <v>6249.9999999999982</v>
      </c>
      <c r="H27" s="66">
        <f t="shared" si="6"/>
        <v>93.427821559751436</v>
      </c>
      <c r="I27" s="66">
        <f t="shared" si="7"/>
        <v>101.58285073811481</v>
      </c>
      <c r="J27" s="426">
        <f t="shared" si="8"/>
        <v>3.1893145076413782</v>
      </c>
      <c r="K27" s="253">
        <f t="shared" si="9"/>
        <v>0.263854774018351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-3.8076855789534819E-2</v>
      </c>
      <c r="P27" s="64">
        <f t="shared" si="13"/>
        <v>3.0733613331932483E-4</v>
      </c>
      <c r="Q27" s="64">
        <f t="shared" si="14"/>
        <v>1.0156818209365035E-5</v>
      </c>
      <c r="R27" s="271">
        <f t="shared" si="44"/>
        <v>0.1889566244894246</v>
      </c>
      <c r="S27" s="64">
        <f t="shared" si="45"/>
        <v>0.31615869371530514</v>
      </c>
      <c r="T27" s="344">
        <f t="shared" si="33"/>
        <v>3.968643243895388</v>
      </c>
      <c r="U27" s="279">
        <f t="shared" si="34"/>
        <v>4.2324980179137395</v>
      </c>
      <c r="V27" s="168">
        <f t="shared" si="15"/>
        <v>3.844439982664317</v>
      </c>
      <c r="W27" s="184">
        <f t="shared" si="16"/>
        <v>1.0213567561046122</v>
      </c>
      <c r="X27" s="457">
        <f t="shared" si="17"/>
        <v>-7.548139063452644</v>
      </c>
      <c r="Y27" s="72">
        <f t="shared" si="18"/>
        <v>0.796319364626764</v>
      </c>
      <c r="Z27" s="73">
        <f t="shared" si="19"/>
        <v>0.73990458797785286</v>
      </c>
      <c r="AA27" s="301">
        <f t="shared" si="35"/>
        <v>0.47980917595570571</v>
      </c>
      <c r="AB27" s="69">
        <f t="shared" si="20"/>
        <v>0.45152632094687384</v>
      </c>
      <c r="AC27" s="68">
        <f t="shared" si="21"/>
        <v>0.45152632094687384</v>
      </c>
      <c r="AD27" s="68">
        <f t="shared" si="22"/>
        <v>0.47980917595570571</v>
      </c>
      <c r="AE27" s="23">
        <f t="shared" si="23"/>
        <v>0.96932061835605854</v>
      </c>
      <c r="AF27" s="23">
        <f t="shared" si="24"/>
        <v>0.62331811089746947</v>
      </c>
      <c r="AG27" s="23">
        <f t="shared" si="25"/>
        <v>0.96932061835605854</v>
      </c>
      <c r="AH27" s="23">
        <f t="shared" si="26"/>
        <v>0.62331811089746947</v>
      </c>
      <c r="AI27" s="23">
        <f t="shared" si="27"/>
        <v>0.796319364626764</v>
      </c>
      <c r="AJ27" s="23">
        <f t="shared" si="28"/>
        <v>0.796319364626764</v>
      </c>
      <c r="AK27" s="295">
        <f t="shared" si="46"/>
        <v>3.8744597476544256E-4</v>
      </c>
      <c r="AL27" s="70">
        <f t="shared" si="29"/>
        <v>4.99</v>
      </c>
      <c r="AM27" s="191">
        <f t="shared" si="37"/>
        <v>3.3000000000000002E-2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3.3000000000000008E-2</v>
      </c>
      <c r="B28" s="52">
        <f t="shared" si="0"/>
        <v>0.12808461314454189</v>
      </c>
      <c r="C28" s="52">
        <f t="shared" si="1"/>
        <v>2.4380846131445422</v>
      </c>
      <c r="D28" s="180">
        <f t="shared" si="2"/>
        <v>-3.8494745727539073</v>
      </c>
      <c r="E28" s="52">
        <f t="shared" si="3"/>
        <v>6.2300700000000007E-4</v>
      </c>
      <c r="F28" s="53">
        <f t="shared" si="4"/>
        <v>167510.54347155965</v>
      </c>
      <c r="G28" s="53">
        <f t="shared" si="5"/>
        <v>6060.6060606060591</v>
      </c>
      <c r="H28" s="54">
        <f t="shared" si="6"/>
        <v>95.413038627957633</v>
      </c>
      <c r="I28" s="54">
        <f t="shared" si="7"/>
        <v>103.41163214504205</v>
      </c>
      <c r="J28" s="425">
        <f t="shared" si="8"/>
        <v>3.3464105788565393</v>
      </c>
      <c r="K28" s="252">
        <f t="shared" si="9"/>
        <v>0.26520886780383535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-3.9266757532957788E-2</v>
      </c>
      <c r="P28" s="52">
        <f t="shared" si="13"/>
        <v>3.2682973871514407E-4</v>
      </c>
      <c r="Q28" s="52">
        <f t="shared" si="14"/>
        <v>1.148612927201965E-5</v>
      </c>
      <c r="R28" s="268">
        <f t="shared" si="44"/>
        <v>0.19869046662876649</v>
      </c>
      <c r="S28" s="52">
        <f t="shared" si="45"/>
        <v>0.34991318118459469</v>
      </c>
      <c r="T28" s="282">
        <f t="shared" si="33"/>
        <v>4.1731103259437141</v>
      </c>
      <c r="U28" s="278">
        <f t="shared" si="34"/>
        <v>4.4383191937475495</v>
      </c>
      <c r="V28" s="181">
        <f t="shared" si="15"/>
        <v>4.0450257127991724</v>
      </c>
      <c r="W28" s="182">
        <f t="shared" si="16"/>
        <v>0.8168896740562861</v>
      </c>
      <c r="X28" s="456">
        <f t="shared" si="17"/>
        <v>-7.5786328305511637</v>
      </c>
      <c r="Y28" s="59">
        <f t="shared" si="18"/>
        <v>0.78223686715720497</v>
      </c>
      <c r="Z28" s="60">
        <f t="shared" si="19"/>
        <v>0.73138166742982424</v>
      </c>
      <c r="AA28" s="300">
        <f t="shared" si="35"/>
        <v>0.46276333485964849</v>
      </c>
      <c r="AB28" s="56">
        <f t="shared" si="20"/>
        <v>0.43534950533939609</v>
      </c>
      <c r="AC28" s="55">
        <f t="shared" si="21"/>
        <v>0.43534950533939609</v>
      </c>
      <c r="AD28" s="55">
        <f t="shared" si="22"/>
        <v>0.46276333485964849</v>
      </c>
      <c r="AE28" s="61">
        <f t="shared" si="23"/>
        <v>0.95217868289453855</v>
      </c>
      <c r="AF28" s="61">
        <f t="shared" si="24"/>
        <v>0.61229505141987139</v>
      </c>
      <c r="AG28" s="61">
        <f t="shared" si="25"/>
        <v>0.95217868289453855</v>
      </c>
      <c r="AH28" s="61">
        <f t="shared" si="26"/>
        <v>0.61229505141987139</v>
      </c>
      <c r="AI28" s="61">
        <f t="shared" si="27"/>
        <v>0.78223686715720497</v>
      </c>
      <c r="AJ28" s="61">
        <f t="shared" si="28"/>
        <v>0.78223686715720497</v>
      </c>
      <c r="AK28" s="306">
        <f t="shared" si="46"/>
        <v>3.7813592619601662E-4</v>
      </c>
      <c r="AL28" s="57">
        <f t="shared" si="29"/>
        <v>4.99</v>
      </c>
      <c r="AM28" s="190">
        <f t="shared" si="37"/>
        <v>3.3000000000000002E-2</v>
      </c>
      <c r="AN28" s="193">
        <f t="shared" si="42"/>
        <v>8</v>
      </c>
      <c r="AO28" s="58">
        <f t="shared" si="38"/>
        <v>0.8168896740562861</v>
      </c>
      <c r="AP28" s="350">
        <f t="shared" si="39"/>
        <v>103.41163214504205</v>
      </c>
      <c r="AQ28" s="351">
        <f>IF($A28=$L$3,B_1*Tb_eff*(1+$G$9)/(SQRT(8)*SQRT($H28^2+$AG$8^2)),0)</f>
        <v>0.77030129131074443</v>
      </c>
      <c r="AR28" s="351">
        <f>IF($A28=$L$3,B_1*Tb_eff*(1-$G$9)/(SQRT(8)*SQRT($H28^2+$AG$8^2)),0)</f>
        <v>0.77030129131074443</v>
      </c>
    </row>
    <row r="29" spans="1:44" s="74" customFormat="1" ht="15" customHeight="1" x14ac:dyDescent="0.2">
      <c r="A29" s="63">
        <f t="shared" si="41"/>
        <v>3.4000000000000009E-2</v>
      </c>
      <c r="B29" s="64">
        <f t="shared" si="0"/>
        <v>0.13196596505801286</v>
      </c>
      <c r="C29" s="64">
        <f t="shared" si="1"/>
        <v>2.4419659650580128</v>
      </c>
      <c r="D29" s="183">
        <f t="shared" si="2"/>
        <v>-3.9661253173828137</v>
      </c>
      <c r="E29" s="64">
        <f t="shared" si="3"/>
        <v>6.4188600000000004E-4</v>
      </c>
      <c r="F29" s="65">
        <f t="shared" si="4"/>
        <v>162583.76278121967</v>
      </c>
      <c r="G29" s="65">
        <f t="shared" si="5"/>
        <v>5882.3529411764694</v>
      </c>
      <c r="H29" s="66">
        <f t="shared" si="6"/>
        <v>97.417006313082695</v>
      </c>
      <c r="I29" s="66">
        <f t="shared" si="7"/>
        <v>105.26343544500413</v>
      </c>
      <c r="J29" s="426">
        <f t="shared" si="8"/>
        <v>3.5091874968251395</v>
      </c>
      <c r="K29" s="253">
        <f t="shared" si="9"/>
        <v>0.26676558770685377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-4.0456659276380751E-2</v>
      </c>
      <c r="P29" s="64">
        <f t="shared" si="13"/>
        <v>3.4692126976999474E-4</v>
      </c>
      <c r="Q29" s="64">
        <f t="shared" si="14"/>
        <v>1.2941736896680091E-5</v>
      </c>
      <c r="R29" s="271">
        <f t="shared" si="44"/>
        <v>0.20961988087348415</v>
      </c>
      <c r="S29" s="64">
        <f t="shared" si="45"/>
        <v>0.38856741042178</v>
      </c>
      <c r="T29" s="344">
        <f t="shared" si="33"/>
        <v>4.3893536949153136</v>
      </c>
      <c r="U29" s="279">
        <f t="shared" si="34"/>
        <v>4.6561192826221678</v>
      </c>
      <c r="V29" s="168">
        <f t="shared" si="15"/>
        <v>4.2573877298573004</v>
      </c>
      <c r="W29" s="184">
        <f t="shared" si="16"/>
        <v>0.60064630508468664</v>
      </c>
      <c r="X29" s="457">
        <f t="shared" si="17"/>
        <v>-7.6127721669355699</v>
      </c>
      <c r="Y29" s="72">
        <f t="shared" si="18"/>
        <v>0.76847568972812008</v>
      </c>
      <c r="Z29" s="73">
        <f t="shared" si="19"/>
        <v>0.72286981606976664</v>
      </c>
      <c r="AA29" s="301">
        <f t="shared" si="35"/>
        <v>0.44573963213953327</v>
      </c>
      <c r="AB29" s="69">
        <f t="shared" si="20"/>
        <v>0.41918399422105601</v>
      </c>
      <c r="AC29" s="68">
        <f t="shared" si="21"/>
        <v>0.41918399422105601</v>
      </c>
      <c r="AD29" s="68">
        <f t="shared" si="22"/>
        <v>0.44573963213953327</v>
      </c>
      <c r="AE29" s="23">
        <f t="shared" si="23"/>
        <v>0.93542787460404819</v>
      </c>
      <c r="AF29" s="23">
        <f t="shared" si="24"/>
        <v>0.60152350485219197</v>
      </c>
      <c r="AG29" s="23">
        <f t="shared" si="25"/>
        <v>0.93542787460404819</v>
      </c>
      <c r="AH29" s="23">
        <f t="shared" si="26"/>
        <v>0.60152350485219197</v>
      </c>
      <c r="AI29" s="23">
        <f t="shared" si="27"/>
        <v>0.76847568972812008</v>
      </c>
      <c r="AJ29" s="23">
        <f t="shared" si="28"/>
        <v>0.76847568972812008</v>
      </c>
      <c r="AK29" s="295">
        <f t="shared" si="46"/>
        <v>3.6920891536625479E-4</v>
      </c>
      <c r="AL29" s="70">
        <f t="shared" si="29"/>
        <v>4.99</v>
      </c>
      <c r="AM29" s="191">
        <f t="shared" si="37"/>
        <v>3.3000000000000002E-2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3.500000000000001E-2</v>
      </c>
      <c r="B30" s="64">
        <f t="shared" si="0"/>
        <v>0.13584731697148383</v>
      </c>
      <c r="C30" s="64">
        <f t="shared" si="1"/>
        <v>2.4458473169714838</v>
      </c>
      <c r="D30" s="183">
        <f t="shared" si="2"/>
        <v>-4.0827760620117202</v>
      </c>
      <c r="E30" s="64">
        <f t="shared" si="3"/>
        <v>6.6076500000000012E-4</v>
      </c>
      <c r="F30" s="65">
        <f t="shared" si="4"/>
        <v>157938.51241604198</v>
      </c>
      <c r="G30" s="65">
        <f t="shared" si="5"/>
        <v>5714.2857142857129</v>
      </c>
      <c r="H30" s="66">
        <f t="shared" si="6"/>
        <v>99.438590988357845</v>
      </c>
      <c r="I30" s="66">
        <f t="shared" si="7"/>
        <v>107.13706688364807</v>
      </c>
      <c r="J30" s="426">
        <f t="shared" si="8"/>
        <v>3.6778270095073684</v>
      </c>
      <c r="K30" s="253">
        <f t="shared" si="9"/>
        <v>0.26855648960717726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-4.164656101980372E-2</v>
      </c>
      <c r="P30" s="64">
        <f t="shared" si="13"/>
        <v>3.676105559833995E-4</v>
      </c>
      <c r="Q30" s="64">
        <f t="shared" si="14"/>
        <v>1.4531378608238651E-5</v>
      </c>
      <c r="R30" s="271">
        <f t="shared" si="44"/>
        <v>0.22191047459276039</v>
      </c>
      <c r="S30" s="64">
        <f t="shared" si="45"/>
        <v>0.43310089776913085</v>
      </c>
      <c r="T30" s="344">
        <f t="shared" si="33"/>
        <v>4.6187002302193516</v>
      </c>
      <c r="U30" s="279">
        <f t="shared" si="34"/>
        <v>4.8872567198265289</v>
      </c>
      <c r="V30" s="168">
        <f t="shared" si="15"/>
        <v>4.4828529132478678</v>
      </c>
      <c r="W30" s="184">
        <f t="shared" si="16"/>
        <v>0.3712997697806486</v>
      </c>
      <c r="X30" s="457">
        <f t="shared" si="17"/>
        <v>-7.6512124458837034</v>
      </c>
      <c r="Y30" s="72">
        <f t="shared" si="18"/>
        <v>0.75503645479300774</v>
      </c>
      <c r="Z30" s="73">
        <f t="shared" si="19"/>
        <v>0.71438149905493953</v>
      </c>
      <c r="AA30" s="301">
        <f t="shared" si="35"/>
        <v>0.42876299810987906</v>
      </c>
      <c r="AB30" s="69">
        <f t="shared" si="20"/>
        <v>0.40305252859153828</v>
      </c>
      <c r="AC30" s="68">
        <f t="shared" si="21"/>
        <v>0.40305252859153828</v>
      </c>
      <c r="AD30" s="68">
        <f t="shared" si="22"/>
        <v>0.42876299810987906</v>
      </c>
      <c r="AE30" s="23">
        <f t="shared" si="23"/>
        <v>0.91906895116678988</v>
      </c>
      <c r="AF30" s="23">
        <f t="shared" si="24"/>
        <v>0.59100395841922571</v>
      </c>
      <c r="AG30" s="23">
        <f t="shared" si="25"/>
        <v>0.91906895116678988</v>
      </c>
      <c r="AH30" s="23">
        <f t="shared" si="26"/>
        <v>0.59100395841922571</v>
      </c>
      <c r="AI30" s="23">
        <f t="shared" si="27"/>
        <v>0.75503645479300774</v>
      </c>
      <c r="AJ30" s="23">
        <f t="shared" si="28"/>
        <v>0.75503645479300774</v>
      </c>
      <c r="AK30" s="295">
        <f t="shared" si="46"/>
        <v>3.6064581802427428E-4</v>
      </c>
      <c r="AL30" s="70">
        <f t="shared" si="29"/>
        <v>4.99</v>
      </c>
      <c r="AM30" s="191">
        <f t="shared" si="37"/>
        <v>3.3000000000000002E-2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3.6000000000000011E-2</v>
      </c>
      <c r="B31" s="64">
        <f t="shared" si="0"/>
        <v>0.1397286688849548</v>
      </c>
      <c r="C31" s="64">
        <f t="shared" si="1"/>
        <v>2.4497286688849549</v>
      </c>
      <c r="D31" s="183">
        <f t="shared" si="2"/>
        <v>-4.1994268066406262</v>
      </c>
      <c r="E31" s="64">
        <f t="shared" si="3"/>
        <v>6.7964400000000008E-4</v>
      </c>
      <c r="F31" s="65">
        <f t="shared" si="4"/>
        <v>153551.33151559636</v>
      </c>
      <c r="G31" s="65">
        <f t="shared" si="5"/>
        <v>5555.5555555555538</v>
      </c>
      <c r="H31" s="66">
        <f t="shared" si="6"/>
        <v>101.47673978040646</v>
      </c>
      <c r="I31" s="66">
        <f t="shared" si="7"/>
        <v>109.0314011610494</v>
      </c>
      <c r="J31" s="426">
        <f t="shared" si="8"/>
        <v>3.8525429466681111</v>
      </c>
      <c r="K31" s="253">
        <f t="shared" si="9"/>
        <v>0.27061580620450298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-4.2836462763226682E-2</v>
      </c>
      <c r="P31" s="64">
        <f t="shared" si="13"/>
        <v>3.8889742179349962E-4</v>
      </c>
      <c r="Q31" s="64">
        <f t="shared" si="14"/>
        <v>1.6263019096262948E-5</v>
      </c>
      <c r="R31" s="271">
        <f t="shared" si="44"/>
        <v>0.23576080791171794</v>
      </c>
      <c r="S31" s="64">
        <f t="shared" si="45"/>
        <v>0.48476716668273079</v>
      </c>
      <c r="T31" s="344">
        <f t="shared" si="33"/>
        <v>4.8628158531666115</v>
      </c>
      <c r="U31" s="279">
        <f t="shared" si="34"/>
        <v>5.1334316593711131</v>
      </c>
      <c r="V31" s="168">
        <f t="shared" si="15"/>
        <v>4.7230871842816571</v>
      </c>
      <c r="W31" s="184">
        <f t="shared" si="16"/>
        <v>0.12718414683338874</v>
      </c>
      <c r="X31" s="457">
        <f t="shared" si="17"/>
        <v>-7.6947789972134206</v>
      </c>
      <c r="Y31" s="72">
        <f t="shared" si="18"/>
        <v>0.74191829413680099</v>
      </c>
      <c r="Z31" s="73">
        <f t="shared" si="19"/>
        <v>0.7059281460809339</v>
      </c>
      <c r="AA31" s="301">
        <f t="shared" si="35"/>
        <v>0.41185629216186781</v>
      </c>
      <c r="AB31" s="69">
        <f t="shared" si="20"/>
        <v>0.38697608333065925</v>
      </c>
      <c r="AC31" s="68">
        <f t="shared" si="21"/>
        <v>0.38697608333065925</v>
      </c>
      <c r="AD31" s="68">
        <f t="shared" si="22"/>
        <v>0.41185629216186781</v>
      </c>
      <c r="AE31" s="23">
        <f t="shared" si="23"/>
        <v>0.90310085574702281</v>
      </c>
      <c r="AF31" s="23">
        <f t="shared" si="24"/>
        <v>0.58073573252657917</v>
      </c>
      <c r="AG31" s="23">
        <f t="shared" si="25"/>
        <v>0.90310085574702281</v>
      </c>
      <c r="AH31" s="23">
        <f t="shared" si="26"/>
        <v>0.58073573252657917</v>
      </c>
      <c r="AI31" s="23">
        <f t="shared" si="27"/>
        <v>0.74191829413680099</v>
      </c>
      <c r="AJ31" s="23">
        <f t="shared" si="28"/>
        <v>0.74191829413680099</v>
      </c>
      <c r="AK31" s="295">
        <f t="shared" si="46"/>
        <v>3.5242832887979997E-4</v>
      </c>
      <c r="AL31" s="70">
        <f t="shared" si="29"/>
        <v>4.99</v>
      </c>
      <c r="AM31" s="191">
        <f t="shared" si="37"/>
        <v>3.3000000000000002E-2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3.7000000000000012E-2</v>
      </c>
      <c r="B32" s="64">
        <f t="shared" si="0"/>
        <v>0.14361002079842577</v>
      </c>
      <c r="C32" s="64">
        <f t="shared" si="1"/>
        <v>2.4536100207984259</v>
      </c>
      <c r="D32" s="183">
        <f t="shared" si="2"/>
        <v>-4.3160775512695331</v>
      </c>
      <c r="E32" s="64">
        <f t="shared" si="3"/>
        <v>6.9852300000000005E-4</v>
      </c>
      <c r="F32" s="65">
        <f t="shared" si="4"/>
        <v>149401.29552868835</v>
      </c>
      <c r="G32" s="65">
        <f t="shared" si="5"/>
        <v>5405.4054054054041</v>
      </c>
      <c r="H32" s="66">
        <f t="shared" si="6"/>
        <v>103.5304744272642</v>
      </c>
      <c r="I32" s="66">
        <f t="shared" si="7"/>
        <v>110.94537781185733</v>
      </c>
      <c r="J32" s="426">
        <f t="shared" si="8"/>
        <v>4.0335853624654083</v>
      </c>
      <c r="K32" s="253">
        <f t="shared" si="9"/>
        <v>0.27298103813871677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-4.4026364506649651E-2</v>
      </c>
      <c r="P32" s="64">
        <f t="shared" si="13"/>
        <v>4.1078168657955139E-4</v>
      </c>
      <c r="Q32" s="64">
        <f t="shared" si="14"/>
        <v>1.8144849884176941E-5</v>
      </c>
      <c r="R32" s="271">
        <f t="shared" si="44"/>
        <v>0.25141047490901858</v>
      </c>
      <c r="S32" s="64">
        <f t="shared" si="45"/>
        <v>0.5451969131705845</v>
      </c>
      <c r="T32" s="344">
        <f t="shared" si="33"/>
        <v>5.1238209161933215</v>
      </c>
      <c r="U32" s="279">
        <f t="shared" si="34"/>
        <v>5.3968019543320382</v>
      </c>
      <c r="V32" s="168">
        <f t="shared" si="15"/>
        <v>4.9802108953948956</v>
      </c>
      <c r="W32" s="184">
        <f t="shared" si="16"/>
        <v>-0.13382091619332126</v>
      </c>
      <c r="X32" s="457">
        <f t="shared" si="17"/>
        <v>-7.744526771198907</v>
      </c>
      <c r="Y32" s="72">
        <f t="shared" si="18"/>
        <v>0.72911907419820055</v>
      </c>
      <c r="Z32" s="73">
        <f t="shared" si="19"/>
        <v>0.6975201779047806</v>
      </c>
      <c r="AA32" s="301">
        <f t="shared" si="35"/>
        <v>0.39504035580956121</v>
      </c>
      <c r="AB32" s="69">
        <f t="shared" si="20"/>
        <v>0.37097390358053328</v>
      </c>
      <c r="AC32" s="68">
        <f t="shared" si="21"/>
        <v>0.37097390358053328</v>
      </c>
      <c r="AD32" s="68">
        <f t="shared" si="22"/>
        <v>0.39504035580956121</v>
      </c>
      <c r="AE32" s="23">
        <f t="shared" si="23"/>
        <v>0.88752099126491979</v>
      </c>
      <c r="AF32" s="23">
        <f t="shared" si="24"/>
        <v>0.5707171571314813</v>
      </c>
      <c r="AG32" s="23">
        <f t="shared" si="25"/>
        <v>0.88752099126491979</v>
      </c>
      <c r="AH32" s="23">
        <f t="shared" si="26"/>
        <v>0.5707171571314813</v>
      </c>
      <c r="AI32" s="23">
        <f t="shared" si="27"/>
        <v>0.72911907419820055</v>
      </c>
      <c r="AJ32" s="23">
        <f t="shared" si="28"/>
        <v>0.72911907419820055</v>
      </c>
      <c r="AK32" s="295">
        <f t="shared" si="46"/>
        <v>3.44538985305038E-4</v>
      </c>
      <c r="AL32" s="70">
        <f t="shared" si="29"/>
        <v>4.99</v>
      </c>
      <c r="AM32" s="191">
        <f t="shared" si="37"/>
        <v>3.3000000000000002E-2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3.8000000000000013E-2</v>
      </c>
      <c r="B33" s="52">
        <f t="shared" si="0"/>
        <v>0.14749137271189672</v>
      </c>
      <c r="C33" s="52">
        <f t="shared" si="1"/>
        <v>2.457491372711897</v>
      </c>
      <c r="D33" s="180">
        <f t="shared" si="2"/>
        <v>-4.4327282958984391</v>
      </c>
      <c r="E33" s="52">
        <f t="shared" si="3"/>
        <v>7.1740200000000012E-4</v>
      </c>
      <c r="F33" s="53">
        <f t="shared" si="4"/>
        <v>145469.68248845972</v>
      </c>
      <c r="G33" s="53">
        <f t="shared" si="5"/>
        <v>5263.1578947368407</v>
      </c>
      <c r="H33" s="54">
        <f t="shared" si="6"/>
        <v>105.59888557069223</v>
      </c>
      <c r="I33" s="54">
        <f t="shared" si="7"/>
        <v>112.87799766320056</v>
      </c>
      <c r="J33" s="425">
        <f t="shared" si="8"/>
        <v>4.2212453461659907</v>
      </c>
      <c r="K33" s="252">
        <f t="shared" si="9"/>
        <v>0.27569369235782659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-4.5216266250072613E-2</v>
      </c>
      <c r="P33" s="52">
        <f t="shared" si="13"/>
        <v>4.3326316466444612E-4</v>
      </c>
      <c r="Q33" s="52">
        <f t="shared" si="14"/>
        <v>2.0185288983716308E-5</v>
      </c>
      <c r="R33" s="268">
        <f t="shared" si="44"/>
        <v>0.26915065630809404</v>
      </c>
      <c r="S33" s="52">
        <f t="shared" si="45"/>
        <v>0.61655238342222407</v>
      </c>
      <c r="T33" s="282">
        <f t="shared" si="33"/>
        <v>5.404459943897189</v>
      </c>
      <c r="U33" s="278">
        <f t="shared" si="34"/>
        <v>5.6801536362550156</v>
      </c>
      <c r="V33" s="181">
        <f t="shared" si="15"/>
        <v>5.2569685711852925</v>
      </c>
      <c r="W33" s="182">
        <f t="shared" si="16"/>
        <v>-0.41445994389718877</v>
      </c>
      <c r="X33" s="456">
        <f t="shared" si="17"/>
        <v>-7.8018280800763726</v>
      </c>
      <c r="Y33" s="59">
        <f t="shared" si="18"/>
        <v>0.71663559623119344</v>
      </c>
      <c r="Z33" s="60">
        <f t="shared" si="19"/>
        <v>0.68916704063809431</v>
      </c>
      <c r="AA33" s="300">
        <f t="shared" si="35"/>
        <v>0.37833408127618862</v>
      </c>
      <c r="AB33" s="56">
        <f t="shared" si="20"/>
        <v>0.35506355426876279</v>
      </c>
      <c r="AC33" s="55">
        <f t="shared" si="21"/>
        <v>0.35506355426876279</v>
      </c>
      <c r="AD33" s="55">
        <f t="shared" si="22"/>
        <v>0.37833408127618862</v>
      </c>
      <c r="AE33" s="61">
        <f t="shared" si="23"/>
        <v>0.87232546404339473</v>
      </c>
      <c r="AF33" s="61">
        <f t="shared" si="24"/>
        <v>0.56094572841899226</v>
      </c>
      <c r="AG33" s="61">
        <f t="shared" si="25"/>
        <v>0.87232546404339473</v>
      </c>
      <c r="AH33" s="61">
        <f t="shared" si="26"/>
        <v>0.56094572841899226</v>
      </c>
      <c r="AI33" s="61">
        <f t="shared" si="27"/>
        <v>0.71663559623119344</v>
      </c>
      <c r="AJ33" s="61">
        <f t="shared" si="28"/>
        <v>0.71663559623119344</v>
      </c>
      <c r="AK33" s="306">
        <f t="shared" si="46"/>
        <v>3.3696117332512269E-4</v>
      </c>
      <c r="AL33" s="57">
        <f t="shared" si="29"/>
        <v>4.99</v>
      </c>
      <c r="AM33" s="190">
        <f t="shared" si="37"/>
        <v>3.3000000000000002E-2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3.9000000000000014E-2</v>
      </c>
      <c r="B34" s="64">
        <f t="shared" si="0"/>
        <v>0.15137272462536772</v>
      </c>
      <c r="C34" s="64">
        <f t="shared" si="1"/>
        <v>2.4613727246253676</v>
      </c>
      <c r="D34" s="183">
        <f t="shared" si="2"/>
        <v>-4.5493790405273451</v>
      </c>
      <c r="E34" s="64">
        <f t="shared" si="3"/>
        <v>7.3628100000000009E-4</v>
      </c>
      <c r="F34" s="65">
        <f t="shared" si="4"/>
        <v>141739.69062978125</v>
      </c>
      <c r="G34" s="65">
        <f t="shared" si="5"/>
        <v>5128.2051282051261</v>
      </c>
      <c r="H34" s="66">
        <f t="shared" si="6"/>
        <v>107.68112746611442</v>
      </c>
      <c r="I34" s="66">
        <f t="shared" si="7"/>
        <v>114.8283193948903</v>
      </c>
      <c r="J34" s="426">
        <f t="shared" si="8"/>
        <v>4.4158606734557324</v>
      </c>
      <c r="K34" s="253">
        <f t="shared" si="9"/>
        <v>0.2788002020729019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-4.6406167993495569E-2</v>
      </c>
      <c r="P34" s="64">
        <f t="shared" si="13"/>
        <v>4.5634166531741832E-4</v>
      </c>
      <c r="Q34" s="64">
        <f t="shared" si="14"/>
        <v>2.2392980548143934E-5</v>
      </c>
      <c r="R34" s="271">
        <f t="shared" si="44"/>
        <v>0.28933806673781326</v>
      </c>
      <c r="S34" s="64">
        <f t="shared" si="45"/>
        <v>0.70176597901944193</v>
      </c>
      <c r="T34" s="344">
        <f t="shared" si="33"/>
        <v>5.7083598368189037</v>
      </c>
      <c r="U34" s="279">
        <f t="shared" si="34"/>
        <v>5.9871600388918065</v>
      </c>
      <c r="V34" s="168">
        <f t="shared" si="15"/>
        <v>5.5569871121935357</v>
      </c>
      <c r="W34" s="184">
        <f t="shared" si="16"/>
        <v>-0.71835983681890347</v>
      </c>
      <c r="X34" s="457">
        <f t="shared" si="17"/>
        <v>-7.8685058479097361</v>
      </c>
      <c r="Y34" s="72">
        <f t="shared" si="18"/>
        <v>0.70446377324887144</v>
      </c>
      <c r="Z34" s="73">
        <f t="shared" si="19"/>
        <v>0.68087724603409816</v>
      </c>
      <c r="AA34" s="301">
        <f t="shared" si="35"/>
        <v>0.36175449206819632</v>
      </c>
      <c r="AB34" s="69">
        <f t="shared" si="20"/>
        <v>0.33926098014021333</v>
      </c>
      <c r="AC34" s="68">
        <f t="shared" si="21"/>
        <v>0.33926098014021333</v>
      </c>
      <c r="AD34" s="68">
        <f t="shared" si="22"/>
        <v>0.36175449206819632</v>
      </c>
      <c r="AE34" s="23">
        <f t="shared" si="23"/>
        <v>0.85750929919315932</v>
      </c>
      <c r="AF34" s="23">
        <f t="shared" si="24"/>
        <v>0.55141824730458366</v>
      </c>
      <c r="AG34" s="23">
        <f t="shared" si="25"/>
        <v>0.85750929919315932</v>
      </c>
      <c r="AH34" s="23">
        <f t="shared" si="26"/>
        <v>0.55141824730458366</v>
      </c>
      <c r="AI34" s="23">
        <f t="shared" si="27"/>
        <v>0.70446377324887144</v>
      </c>
      <c r="AJ34" s="23">
        <f t="shared" si="28"/>
        <v>0.70446377324887144</v>
      </c>
      <c r="AK34" s="295">
        <f t="shared" si="46"/>
        <v>3.2967912036515706E-4</v>
      </c>
      <c r="AL34" s="70">
        <f t="shared" si="29"/>
        <v>4.99</v>
      </c>
      <c r="AM34" s="191">
        <f t="shared" si="37"/>
        <v>3.3000000000000002E-2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4.0000000000000015E-2</v>
      </c>
      <c r="B35" s="64">
        <f t="shared" si="0"/>
        <v>0.15525407653883869</v>
      </c>
      <c r="C35" s="64">
        <f t="shared" si="1"/>
        <v>2.4652540765388387</v>
      </c>
      <c r="D35" s="183">
        <f t="shared" si="2"/>
        <v>-4.666029785156252</v>
      </c>
      <c r="E35" s="64">
        <f t="shared" si="3"/>
        <v>7.5516000000000016E-4</v>
      </c>
      <c r="F35" s="65">
        <f t="shared" si="4"/>
        <v>138196.19836403671</v>
      </c>
      <c r="G35" s="65">
        <f t="shared" si="5"/>
        <v>4999.9999999999982</v>
      </c>
      <c r="H35" s="66">
        <f t="shared" si="6"/>
        <v>109.77641309014736</v>
      </c>
      <c r="I35" s="66">
        <f t="shared" si="7"/>
        <v>116.79545621992335</v>
      </c>
      <c r="J35" s="426">
        <f t="shared" si="8"/>
        <v>4.6178225156254724</v>
      </c>
      <c r="K35" s="253">
        <f t="shared" si="9"/>
        <v>0.282353075049663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-4.7596069736918545E-2</v>
      </c>
      <c r="P35" s="64">
        <f t="shared" si="13"/>
        <v>4.8001699275663687E-4</v>
      </c>
      <c r="Q35" s="64">
        <f t="shared" si="14"/>
        <v>2.4776794511674274E-5</v>
      </c>
      <c r="R35" s="271">
        <f t="shared" si="44"/>
        <v>0.31241363419057117</v>
      </c>
      <c r="S35" s="64">
        <f t="shared" si="45"/>
        <v>0.80492352543605528</v>
      </c>
      <c r="T35" s="344">
        <f t="shared" si="33"/>
        <v>6.0404385285854501</v>
      </c>
      <c r="U35" s="279">
        <f t="shared" si="34"/>
        <v>6.3227916036351131</v>
      </c>
      <c r="V35" s="168">
        <f t="shared" si="15"/>
        <v>5.8851844520466114</v>
      </c>
      <c r="W35" s="184">
        <f t="shared" si="16"/>
        <v>-1.0504385285854498</v>
      </c>
      <c r="X35" s="457">
        <f t="shared" si="17"/>
        <v>-7.9470439242982343</v>
      </c>
      <c r="Y35" s="72">
        <f t="shared" si="18"/>
        <v>0.6925987857304341</v>
      </c>
      <c r="Z35" s="73">
        <f t="shared" si="19"/>
        <v>0.67265841618977507</v>
      </c>
      <c r="AA35" s="301">
        <f t="shared" si="35"/>
        <v>0.34531683237955013</v>
      </c>
      <c r="AB35" s="69">
        <f t="shared" si="20"/>
        <v>0.32358057389900718</v>
      </c>
      <c r="AC35" s="68">
        <f t="shared" si="21"/>
        <v>0.32358057389900718</v>
      </c>
      <c r="AD35" s="68">
        <f t="shared" si="22"/>
        <v>0.34531683237955013</v>
      </c>
      <c r="AE35" s="23">
        <f t="shared" si="23"/>
        <v>0.84306663014724315</v>
      </c>
      <c r="AF35" s="23">
        <f t="shared" si="24"/>
        <v>0.54213094131362516</v>
      </c>
      <c r="AG35" s="23">
        <f t="shared" si="25"/>
        <v>0.84306663014724315</v>
      </c>
      <c r="AH35" s="23">
        <f t="shared" si="26"/>
        <v>0.54213094131362516</v>
      </c>
      <c r="AI35" s="23">
        <f t="shared" si="27"/>
        <v>0.6925987857304341</v>
      </c>
      <c r="AJ35" s="23">
        <f t="shared" si="28"/>
        <v>0.6925987857304341</v>
      </c>
      <c r="AK35" s="295">
        <f t="shared" si="46"/>
        <v>3.2267787827290839E-4</v>
      </c>
      <c r="AL35" s="70">
        <f t="shared" si="29"/>
        <v>4.99</v>
      </c>
      <c r="AM35" s="191">
        <f t="shared" si="37"/>
        <v>3.3000000000000002E-2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4.1000000000000016E-2</v>
      </c>
      <c r="B36" s="64">
        <f t="shared" si="0"/>
        <v>0.15913542845230963</v>
      </c>
      <c r="C36" s="64">
        <f t="shared" si="1"/>
        <v>2.4691354284523097</v>
      </c>
      <c r="D36" s="183">
        <f t="shared" si="2"/>
        <v>-4.782680529785158</v>
      </c>
      <c r="E36" s="64">
        <f t="shared" si="3"/>
        <v>7.7403900000000013E-4</v>
      </c>
      <c r="F36" s="65">
        <f t="shared" si="4"/>
        <v>134825.55937954804</v>
      </c>
      <c r="G36" s="65">
        <f t="shared" si="5"/>
        <v>4878.048780487803</v>
      </c>
      <c r="H36" s="66">
        <f t="shared" si="6"/>
        <v>111.88400962366092</v>
      </c>
      <c r="I36" s="66">
        <f t="shared" si="7"/>
        <v>118.77857269789365</v>
      </c>
      <c r="J36" s="426">
        <f t="shared" si="8"/>
        <v>4.8275834834279552</v>
      </c>
      <c r="K36" s="253">
        <f t="shared" si="9"/>
        <v>0.28641233399915311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-4.87859714803415E-2</v>
      </c>
      <c r="P36" s="64">
        <f t="shared" si="13"/>
        <v>5.0428894615198346E-4</v>
      </c>
      <c r="Q36" s="64">
        <f t="shared" si="14"/>
        <v>2.7345826222805792E-5</v>
      </c>
      <c r="R36" s="271">
        <f t="shared" si="44"/>
        <v>0.33892788664876894</v>
      </c>
      <c r="S36" s="64">
        <f t="shared" si="45"/>
        <v>0.93190935946912334</v>
      </c>
      <c r="T36" s="344">
        <f t="shared" si="33"/>
        <v>6.4075835038243794</v>
      </c>
      <c r="U36" s="279">
        <f t="shared" si="34"/>
        <v>6.6939958378235325</v>
      </c>
      <c r="V36" s="168">
        <f t="shared" si="15"/>
        <v>6.2484480753720701</v>
      </c>
      <c r="W36" s="184">
        <f t="shared" si="16"/>
        <v>-1.4175835038243791</v>
      </c>
      <c r="X36" s="457">
        <f t="shared" si="17"/>
        <v>-8.0409350147181495</v>
      </c>
      <c r="Y36" s="72">
        <f t="shared" si="18"/>
        <v>0.68103521804809075</v>
      </c>
      <c r="Z36" s="73">
        <f t="shared" si="19"/>
        <v>0.66451733128471879</v>
      </c>
      <c r="AA36" s="301">
        <f t="shared" si="35"/>
        <v>0.32903466256943759</v>
      </c>
      <c r="AB36" s="69">
        <f t="shared" si="20"/>
        <v>0.30803525031454626</v>
      </c>
      <c r="AC36" s="68">
        <f t="shared" si="21"/>
        <v>0.30803525031454626</v>
      </c>
      <c r="AD36" s="68">
        <f t="shared" si="22"/>
        <v>0.32903466256943759</v>
      </c>
      <c r="AE36" s="23">
        <f t="shared" si="23"/>
        <v>0.82899086472678929</v>
      </c>
      <c r="AF36" s="23">
        <f t="shared" si="24"/>
        <v>0.53307957136939232</v>
      </c>
      <c r="AG36" s="23">
        <f t="shared" si="25"/>
        <v>0.82899086472678929</v>
      </c>
      <c r="AH36" s="23">
        <f t="shared" si="26"/>
        <v>0.53307957136939232</v>
      </c>
      <c r="AI36" s="23">
        <f t="shared" si="27"/>
        <v>0.68103521804809075</v>
      </c>
      <c r="AJ36" s="23">
        <f t="shared" si="28"/>
        <v>0.68103521804809075</v>
      </c>
      <c r="AK36" s="295">
        <f t="shared" si="46"/>
        <v>3.1594329937530271E-4</v>
      </c>
      <c r="AL36" s="70">
        <f t="shared" si="29"/>
        <v>4.99</v>
      </c>
      <c r="AM36" s="191">
        <f t="shared" si="37"/>
        <v>3.3000000000000002E-2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4.2000000000000016E-2</v>
      </c>
      <c r="B37" s="64">
        <f t="shared" si="0"/>
        <v>0.16301678036578063</v>
      </c>
      <c r="C37" s="64">
        <f t="shared" si="1"/>
        <v>2.4730167803657808</v>
      </c>
      <c r="D37" s="183">
        <f t="shared" si="2"/>
        <v>-4.8993312744140649</v>
      </c>
      <c r="E37" s="64">
        <f t="shared" si="3"/>
        <v>7.929180000000002E-4</v>
      </c>
      <c r="F37" s="65">
        <f t="shared" si="4"/>
        <v>131615.42701336829</v>
      </c>
      <c r="G37" s="65">
        <f t="shared" si="5"/>
        <v>4761.9047619047597</v>
      </c>
      <c r="H37" s="66">
        <f t="shared" si="6"/>
        <v>114.00323428727755</v>
      </c>
      <c r="I37" s="66">
        <f t="shared" si="7"/>
        <v>120.77688168950735</v>
      </c>
      <c r="J37" s="426">
        <f t="shared" si="8"/>
        <v>5.0456673623475314</v>
      </c>
      <c r="K37" s="253">
        <f t="shared" si="9"/>
        <v>0.29104733647996017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-4.9975873223764476E-2</v>
      </c>
      <c r="P37" s="64">
        <f t="shared" si="13"/>
        <v>5.291573196280206E-4</v>
      </c>
      <c r="Q37" s="64">
        <f t="shared" si="14"/>
        <v>3.0109396063831013E-5</v>
      </c>
      <c r="R37" s="271">
        <f t="shared" si="44"/>
        <v>0.3695760231884449</v>
      </c>
      <c r="S37" s="64">
        <f t="shared" si="45"/>
        <v>1.0915569167438626</v>
      </c>
      <c r="T37" s="344">
        <f t="shared" si="33"/>
        <v>6.8198471920416841</v>
      </c>
      <c r="U37" s="279">
        <f t="shared" si="34"/>
        <v>7.1108945285216443</v>
      </c>
      <c r="V37" s="168">
        <f t="shared" si="15"/>
        <v>6.6568304116759034</v>
      </c>
      <c r="W37" s="184">
        <f t="shared" si="16"/>
        <v>-1.8298471920416839</v>
      </c>
      <c r="X37" s="457">
        <f t="shared" si="17"/>
        <v>-8.1552910453785081</v>
      </c>
      <c r="Y37" s="72">
        <f t="shared" si="18"/>
        <v>0.66976717750263481</v>
      </c>
      <c r="Z37" s="73">
        <f t="shared" si="19"/>
        <v>0.65645997917368215</v>
      </c>
      <c r="AA37" s="301">
        <f t="shared" si="35"/>
        <v>0.3129199583473643</v>
      </c>
      <c r="AB37" s="69">
        <f t="shared" si="20"/>
        <v>0.29263652440305954</v>
      </c>
      <c r="AC37" s="68">
        <f t="shared" si="21"/>
        <v>0.29263652440305954</v>
      </c>
      <c r="AD37" s="68">
        <f t="shared" si="22"/>
        <v>0.3129199583473643</v>
      </c>
      <c r="AE37" s="23">
        <f t="shared" si="23"/>
        <v>0.81527483003723755</v>
      </c>
      <c r="AF37" s="23">
        <f t="shared" si="24"/>
        <v>0.52425952496803219</v>
      </c>
      <c r="AG37" s="23">
        <f t="shared" si="25"/>
        <v>0.81527483003723755</v>
      </c>
      <c r="AH37" s="23">
        <f t="shared" si="26"/>
        <v>0.52425952496803219</v>
      </c>
      <c r="AI37" s="23">
        <f t="shared" si="27"/>
        <v>0.66976717750263481</v>
      </c>
      <c r="AJ37" s="23">
        <f t="shared" si="28"/>
        <v>0.66976717750263481</v>
      </c>
      <c r="AK37" s="295">
        <f t="shared" si="46"/>
        <v>3.0946200771845954E-4</v>
      </c>
      <c r="AL37" s="70">
        <f t="shared" si="29"/>
        <v>4.99</v>
      </c>
      <c r="AM37" s="191">
        <f t="shared" si="37"/>
        <v>3.3000000000000002E-2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4.3000000000000017E-2</v>
      </c>
      <c r="B38" s="76">
        <f t="shared" si="0"/>
        <v>0.1668981322792516</v>
      </c>
      <c r="C38" s="76">
        <f t="shared" si="1"/>
        <v>2.4768981322792518</v>
      </c>
      <c r="D38" s="185">
        <f t="shared" si="2"/>
        <v>-5.0159820190429709</v>
      </c>
      <c r="E38" s="76">
        <f t="shared" si="3"/>
        <v>8.1179700000000017E-4</v>
      </c>
      <c r="F38" s="77">
        <f t="shared" si="4"/>
        <v>128554.60312933646</v>
      </c>
      <c r="G38" s="77">
        <f t="shared" si="5"/>
        <v>4651.1627906976728</v>
      </c>
      <c r="H38" s="78">
        <f t="shared" si="6"/>
        <v>116.13345050594168</v>
      </c>
      <c r="I38" s="78">
        <f t="shared" si="7"/>
        <v>122.78964145683204</v>
      </c>
      <c r="J38" s="427">
        <f t="shared" si="8"/>
        <v>5.2726810046516146</v>
      </c>
      <c r="K38" s="254">
        <f t="shared" si="9"/>
        <v>0.29633909509428147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-5.1165774967187432E-2</v>
      </c>
      <c r="P38" s="76">
        <f t="shared" si="13"/>
        <v>5.5462190226669976E-4</v>
      </c>
      <c r="Q38" s="76">
        <f t="shared" si="14"/>
        <v>3.3077049069044287E-5</v>
      </c>
      <c r="R38" s="257">
        <f>10*LOG10(1/SQRT(1-AK38*(Q/AA38)^2))</f>
        <v>0.40524726391165272</v>
      </c>
      <c r="S38" s="76">
        <f>-10*LOG10(AA38*SQRT(1-Q*Q*((SD_blw^2+AK38)/AA38^2+Vmn+(P38*P38))))-$T$13-J38-L38-Q38-N38-R38-Pmn</f>
        <v>1.2978588119996886</v>
      </c>
      <c r="T38" s="283">
        <f t="shared" si="33"/>
        <v>7.2927182898912761</v>
      </c>
      <c r="U38" s="280">
        <f t="shared" si="34"/>
        <v>7.5890573849855576</v>
      </c>
      <c r="V38" s="186">
        <f t="shared" si="15"/>
        <v>7.1258201576120248</v>
      </c>
      <c r="W38" s="187">
        <f t="shared" si="16"/>
        <v>-2.3027182898912759</v>
      </c>
      <c r="X38" s="458">
        <f t="shared" si="17"/>
        <v>-8.2979975532961028</v>
      </c>
      <c r="Y38" s="80">
        <f t="shared" si="18"/>
        <v>0.65878839775902065</v>
      </c>
      <c r="Z38" s="83">
        <f t="shared" si="19"/>
        <v>0.64849160583475962</v>
      </c>
      <c r="AA38" s="300">
        <f t="shared" si="35"/>
        <v>0.29698321166951924</v>
      </c>
      <c r="AB38" s="79">
        <f t="shared" si="20"/>
        <v>0.27739459204969719</v>
      </c>
      <c r="AC38" s="80">
        <f t="shared" si="21"/>
        <v>0.27739459204969719</v>
      </c>
      <c r="AD38" s="80">
        <f t="shared" si="22"/>
        <v>0.29698321166951924</v>
      </c>
      <c r="AE38" s="84">
        <f t="shared" si="23"/>
        <v>0.80191089837539353</v>
      </c>
      <c r="AF38" s="84">
        <f t="shared" si="24"/>
        <v>0.51566589714264777</v>
      </c>
      <c r="AG38" s="84">
        <f t="shared" si="25"/>
        <v>0.80191089837539353</v>
      </c>
      <c r="AH38" s="84">
        <f t="shared" si="26"/>
        <v>0.51566589714264777</v>
      </c>
      <c r="AI38" s="84">
        <f t="shared" si="27"/>
        <v>0.65878839775902065</v>
      </c>
      <c r="AJ38" s="84">
        <f t="shared" si="28"/>
        <v>0.65878839775902065</v>
      </c>
      <c r="AK38" s="387">
        <f t="shared" si="46"/>
        <v>3.0322136715626199E-4</v>
      </c>
      <c r="AL38" s="81">
        <f t="shared" si="29"/>
        <v>4.99</v>
      </c>
      <c r="AM38" s="194">
        <f t="shared" si="37"/>
        <v>3.3000000000000002E-2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0.8168896740562861</v>
      </c>
      <c r="AP39" s="355">
        <f>SUM(AP18:AP38)</f>
        <v>103.41163214504205</v>
      </c>
      <c r="AQ39" s="356">
        <f>SUM(AQ18:AQ38)</f>
        <v>0.77030129131074443</v>
      </c>
      <c r="AR39" s="356">
        <f>SUM(AR18:AR38)</f>
        <v>0.77030129131074443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-0.7371514774087552</v>
      </c>
      <c r="AC41" s="294">
        <f t="shared" ref="AC41:AC71" si="50">MAX(MIN(B_1*Tb_eff*(1-$AA41)/(SQRT(2)*$AG$9),10),-10)</f>
        <v>3.0796082351871412</v>
      </c>
      <c r="AD41" s="315">
        <f t="shared" ref="AD41:AD71" si="51">(ERF(AB41)+1)/2</f>
        <v>0.14859236844567791</v>
      </c>
      <c r="AE41" s="315">
        <f t="shared" ref="AE41:AE71" si="52">(ERF(AC41)+1)/2</f>
        <v>0.99999335344626394</v>
      </c>
      <c r="AF41" s="316">
        <f t="shared" ref="AF41:AF71" si="53">AD41+AE41-1</f>
        <v>0.14858572189194197</v>
      </c>
      <c r="AG41" s="316">
        <f t="shared" ref="AG41:AG71" si="54">1-AD41</f>
        <v>0.85140763155432209</v>
      </c>
      <c r="AH41" s="316">
        <f t="shared" ref="AH41:AH71" si="55">1-AE41</f>
        <v>6.6465537360560489E-6</v>
      </c>
      <c r="AI41" s="316">
        <f t="shared" ref="AI41:AI71" si="56">1-AF41</f>
        <v>0.85141427810805803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-0.49232675087279726</v>
      </c>
      <c r="AQ41" s="294">
        <f t="shared" ref="AQ41:AQ69" si="62">MAX(MIN(B_1*Tb_eff*(1-$AA41)/(SQRT(2)*$AP$39),10),-10)</f>
        <v>2.0568004851872073</v>
      </c>
      <c r="AR41" s="315">
        <f t="shared" ref="AR41:AR69" si="63">(ERF(AP41)+1)/2</f>
        <v>0.24313452192453527</v>
      </c>
      <c r="AS41" s="315">
        <f t="shared" ref="AS41:AS69" si="64">(ERF(AQ41)+1)/2</f>
        <v>0.99818564527156384</v>
      </c>
      <c r="AT41" s="316">
        <f t="shared" ref="AT41:AT69" si="65">AR41+AS41-1</f>
        <v>0.24132016719609917</v>
      </c>
      <c r="AU41" s="316">
        <f t="shared" ref="AU41:AW69" si="66">1-AR41</f>
        <v>0.75686547807546467</v>
      </c>
      <c r="AV41" s="316">
        <f t="shared" si="66"/>
        <v>1.8143547284361627E-3</v>
      </c>
      <c r="AW41" s="338">
        <f t="shared" si="66"/>
        <v>0.75867983280390083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-0.60992615365555869</v>
      </c>
      <c r="AC42" s="294">
        <f t="shared" si="50"/>
        <v>2.9523829114339439</v>
      </c>
      <c r="AD42" s="315">
        <f t="shared" si="51"/>
        <v>0.19418810978277212</v>
      </c>
      <c r="AE42" s="315">
        <f t="shared" si="52"/>
        <v>0.99998512031652909</v>
      </c>
      <c r="AF42" s="316">
        <f t="shared" si="53"/>
        <v>0.1941732300993011</v>
      </c>
      <c r="AG42" s="316">
        <f t="shared" si="54"/>
        <v>0.80581189021722788</v>
      </c>
      <c r="AH42" s="316">
        <f t="shared" si="55"/>
        <v>1.4879683470914173E-5</v>
      </c>
      <c r="AI42" s="316">
        <f t="shared" si="56"/>
        <v>0.8058267699006989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-0.40735584300413047</v>
      </c>
      <c r="AQ42" s="294">
        <f t="shared" si="62"/>
        <v>1.9718295773185401</v>
      </c>
      <c r="AR42" s="315">
        <f t="shared" si="63"/>
        <v>0.28227779767730238</v>
      </c>
      <c r="AS42" s="315">
        <f t="shared" si="64"/>
        <v>0.99735308291644875</v>
      </c>
      <c r="AT42" s="316">
        <f t="shared" si="65"/>
        <v>0.27963088059375107</v>
      </c>
      <c r="AU42" s="316">
        <f t="shared" si="66"/>
        <v>0.71772220232269768</v>
      </c>
      <c r="AV42" s="316">
        <f t="shared" si="66"/>
        <v>2.6469170835512479E-3</v>
      </c>
      <c r="AW42" s="338">
        <f t="shared" si="66"/>
        <v>0.72036911940624893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-0.48270082990236229</v>
      </c>
      <c r="AC43" s="294">
        <f t="shared" si="50"/>
        <v>2.825157587680748</v>
      </c>
      <c r="AD43" s="315">
        <f t="shared" si="51"/>
        <v>0.24741652483947413</v>
      </c>
      <c r="AE43" s="315">
        <f t="shared" si="52"/>
        <v>0.99996770419508241</v>
      </c>
      <c r="AF43" s="316">
        <f t="shared" si="53"/>
        <v>0.24738422903455648</v>
      </c>
      <c r="AG43" s="316">
        <f t="shared" si="54"/>
        <v>0.75258347516052582</v>
      </c>
      <c r="AH43" s="316">
        <f t="shared" si="55"/>
        <v>3.2295804917592541E-5</v>
      </c>
      <c r="AI43" s="316">
        <f t="shared" si="56"/>
        <v>0.75261577096544352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-0.32238493513546379</v>
      </c>
      <c r="AQ43" s="294">
        <f t="shared" si="62"/>
        <v>1.8868586694498737</v>
      </c>
      <c r="AR43" s="315">
        <f t="shared" si="63"/>
        <v>0.32422334087972654</v>
      </c>
      <c r="AS43" s="315">
        <f t="shared" si="64"/>
        <v>0.99618956645696621</v>
      </c>
      <c r="AT43" s="316">
        <f t="shared" si="65"/>
        <v>0.32041290733669281</v>
      </c>
      <c r="AU43" s="316">
        <f t="shared" si="66"/>
        <v>0.6757766591202734</v>
      </c>
      <c r="AV43" s="316">
        <f t="shared" si="66"/>
        <v>3.8104335430337866E-3</v>
      </c>
      <c r="AW43" s="338">
        <f t="shared" si="66"/>
        <v>0.67958709266330719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-0.35547550614916545</v>
      </c>
      <c r="AC44" s="294">
        <f t="shared" si="50"/>
        <v>2.6979322639275507</v>
      </c>
      <c r="AD44" s="315">
        <f t="shared" si="51"/>
        <v>0.30758117716546146</v>
      </c>
      <c r="AE44" s="315">
        <f t="shared" si="52"/>
        <v>0.99993203317000612</v>
      </c>
      <c r="AF44" s="316">
        <f t="shared" si="53"/>
        <v>0.30751321033546763</v>
      </c>
      <c r="AG44" s="316">
        <f t="shared" si="54"/>
        <v>0.69241882283453848</v>
      </c>
      <c r="AH44" s="316">
        <f t="shared" si="55"/>
        <v>6.7966829993881817E-5</v>
      </c>
      <c r="AI44" s="316">
        <f t="shared" si="56"/>
        <v>0.69248678966453237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-0.23741402726679675</v>
      </c>
      <c r="AQ44" s="294">
        <f t="shared" si="62"/>
        <v>1.8018877615812066</v>
      </c>
      <c r="AR44" s="315">
        <f t="shared" si="63"/>
        <v>0.36852813877153662</v>
      </c>
      <c r="AS44" s="315">
        <f t="shared" si="64"/>
        <v>0.99458682107265117</v>
      </c>
      <c r="AT44" s="316">
        <f t="shared" si="65"/>
        <v>0.36311495984418785</v>
      </c>
      <c r="AU44" s="316">
        <f t="shared" si="66"/>
        <v>0.63147186122846333</v>
      </c>
      <c r="AV44" s="316">
        <f t="shared" si="66"/>
        <v>5.4131789273488273E-3</v>
      </c>
      <c r="AW44" s="338">
        <f t="shared" si="66"/>
        <v>0.63688504015581215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-0.22825018239596911</v>
      </c>
      <c r="AC45" s="294">
        <f t="shared" si="50"/>
        <v>2.5707069401743547</v>
      </c>
      <c r="AD45" s="315">
        <f t="shared" si="51"/>
        <v>0.37342543795016492</v>
      </c>
      <c r="AE45" s="315">
        <f t="shared" si="52"/>
        <v>0.99986129440402172</v>
      </c>
      <c r="AF45" s="316">
        <f t="shared" si="53"/>
        <v>0.37328673235418663</v>
      </c>
      <c r="AG45" s="316">
        <f t="shared" si="54"/>
        <v>0.62657456204983508</v>
      </c>
      <c r="AH45" s="316">
        <f t="shared" si="55"/>
        <v>1.3870559597828347E-4</v>
      </c>
      <c r="AI45" s="316">
        <f t="shared" si="56"/>
        <v>0.62671326764581337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-0.15244311939813004</v>
      </c>
      <c r="AQ45" s="294">
        <f t="shared" si="62"/>
        <v>1.7169168537125399</v>
      </c>
      <c r="AR45" s="315">
        <f t="shared" si="63"/>
        <v>0.41465479552986462</v>
      </c>
      <c r="AS45" s="315">
        <f t="shared" si="64"/>
        <v>0.99241065124748462</v>
      </c>
      <c r="AT45" s="316">
        <f t="shared" si="65"/>
        <v>0.40706544677734913</v>
      </c>
      <c r="AU45" s="316">
        <f t="shared" si="66"/>
        <v>0.58534520447013538</v>
      </c>
      <c r="AV45" s="316">
        <f t="shared" si="66"/>
        <v>7.5893487525153791E-3</v>
      </c>
      <c r="AW45" s="338">
        <f t="shared" si="66"/>
        <v>0.59293455322265087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-0.10102485864277255</v>
      </c>
      <c r="AC46" s="294">
        <f t="shared" si="50"/>
        <v>2.4434816164211579</v>
      </c>
      <c r="AD46" s="315">
        <f t="shared" si="51"/>
        <v>0.44319613961667625</v>
      </c>
      <c r="AE46" s="315">
        <f t="shared" si="52"/>
        <v>0.99972547019197955</v>
      </c>
      <c r="AF46" s="316">
        <f t="shared" si="53"/>
        <v>0.44292160980865569</v>
      </c>
      <c r="AG46" s="316">
        <f t="shared" si="54"/>
        <v>0.55680386038332375</v>
      </c>
      <c r="AH46" s="316">
        <f t="shared" si="55"/>
        <v>2.7452980802045168E-4</v>
      </c>
      <c r="AI46" s="316">
        <f t="shared" si="56"/>
        <v>0.55707839019134431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-6.74722115294632E-2</v>
      </c>
      <c r="AQ46" s="294">
        <f t="shared" si="62"/>
        <v>1.6319459458438732</v>
      </c>
      <c r="AR46" s="315">
        <f t="shared" si="63"/>
        <v>0.4619905691109793</v>
      </c>
      <c r="AS46" s="315">
        <f t="shared" si="64"/>
        <v>0.98949820926788767</v>
      </c>
      <c r="AT46" s="316">
        <f t="shared" si="65"/>
        <v>0.45148877837886703</v>
      </c>
      <c r="AU46" s="316">
        <f t="shared" si="66"/>
        <v>0.53800943088902065</v>
      </c>
      <c r="AV46" s="316">
        <f t="shared" si="66"/>
        <v>1.0501790732112326E-2</v>
      </c>
      <c r="AW46" s="338">
        <f t="shared" si="66"/>
        <v>0.54851122162113297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2.6200465110423895E-2</v>
      </c>
      <c r="AC47" s="294">
        <f t="shared" si="50"/>
        <v>2.3162562926679615</v>
      </c>
      <c r="AD47" s="315">
        <f t="shared" si="51"/>
        <v>0.51477864775033988</v>
      </c>
      <c r="AE47" s="315">
        <f t="shared" si="52"/>
        <v>0.99947296238406103</v>
      </c>
      <c r="AF47" s="316">
        <f t="shared" si="53"/>
        <v>0.51425161013440102</v>
      </c>
      <c r="AG47" s="316">
        <f t="shared" si="54"/>
        <v>0.48522135224966012</v>
      </c>
      <c r="AH47" s="316">
        <f t="shared" si="55"/>
        <v>5.2703761593897447E-4</v>
      </c>
      <c r="AI47" s="316">
        <f t="shared" si="56"/>
        <v>0.48574838986559898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1.7498696339203562E-2</v>
      </c>
      <c r="AQ47" s="294">
        <f t="shared" si="62"/>
        <v>1.5469750379752063</v>
      </c>
      <c r="AR47" s="315">
        <f t="shared" si="63"/>
        <v>0.50987157461685417</v>
      </c>
      <c r="AS47" s="315">
        <f t="shared" si="64"/>
        <v>0.98565620332157455</v>
      </c>
      <c r="AT47" s="316">
        <f t="shared" si="65"/>
        <v>0.49552777793842884</v>
      </c>
      <c r="AU47" s="316">
        <f t="shared" si="66"/>
        <v>0.49012842538314583</v>
      </c>
      <c r="AV47" s="316">
        <f t="shared" si="66"/>
        <v>1.4343796678425447E-2</v>
      </c>
      <c r="AW47" s="338">
        <f t="shared" si="66"/>
        <v>0.50447222206157116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0.15342578886362049</v>
      </c>
      <c r="AC48" s="294">
        <f t="shared" si="50"/>
        <v>2.1890309689147647</v>
      </c>
      <c r="AD48" s="315">
        <f t="shared" si="51"/>
        <v>0.58588679966309964</v>
      </c>
      <c r="AE48" s="315">
        <f t="shared" si="52"/>
        <v>0.99901844509718585</v>
      </c>
      <c r="AF48" s="316">
        <f t="shared" si="53"/>
        <v>0.58490524476028538</v>
      </c>
      <c r="AG48" s="316">
        <f t="shared" si="54"/>
        <v>0.41411320033690036</v>
      </c>
      <c r="AH48" s="316">
        <f t="shared" si="55"/>
        <v>9.8155490281415236E-4</v>
      </c>
      <c r="AI48" s="316">
        <f t="shared" si="56"/>
        <v>0.41509475523971462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0.10246960420787042</v>
      </c>
      <c r="AQ48" s="294">
        <f t="shared" si="62"/>
        <v>1.4620041301065394</v>
      </c>
      <c r="AR48" s="315">
        <f t="shared" si="63"/>
        <v>0.55761057574401895</v>
      </c>
      <c r="AS48" s="315">
        <f t="shared" si="64"/>
        <v>0.98066051841512669</v>
      </c>
      <c r="AT48" s="316">
        <f t="shared" si="65"/>
        <v>0.53827109415914576</v>
      </c>
      <c r="AU48" s="316">
        <f t="shared" si="66"/>
        <v>0.44238942425598105</v>
      </c>
      <c r="AV48" s="316">
        <f t="shared" si="66"/>
        <v>1.9339481584873308E-2</v>
      </c>
      <c r="AW48" s="338">
        <f t="shared" si="66"/>
        <v>0.46172890584085424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0.28065111261681702</v>
      </c>
      <c r="AC49" s="294">
        <f t="shared" si="50"/>
        <v>2.0618056451615683</v>
      </c>
      <c r="AD49" s="315">
        <f t="shared" si="51"/>
        <v>0.6542796227308465</v>
      </c>
      <c r="AE49" s="315">
        <f t="shared" si="52"/>
        <v>0.9982263012629804</v>
      </c>
      <c r="AF49" s="316">
        <f t="shared" si="53"/>
        <v>0.6525059239938269</v>
      </c>
      <c r="AG49" s="316">
        <f t="shared" si="54"/>
        <v>0.3457203772691535</v>
      </c>
      <c r="AH49" s="316">
        <f t="shared" si="55"/>
        <v>1.7736987370196022E-3</v>
      </c>
      <c r="AI49" s="316">
        <f t="shared" si="56"/>
        <v>0.3474940760061731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0.18744051207653725</v>
      </c>
      <c r="AQ49" s="294">
        <f t="shared" si="62"/>
        <v>1.3770332222378725</v>
      </c>
      <c r="AR49" s="315">
        <f t="shared" si="63"/>
        <v>0.60452643513197968</v>
      </c>
      <c r="AS49" s="315">
        <f t="shared" si="64"/>
        <v>0.97425774251177999</v>
      </c>
      <c r="AT49" s="316">
        <f t="shared" si="65"/>
        <v>0.57878417764375967</v>
      </c>
      <c r="AU49" s="316">
        <f t="shared" si="66"/>
        <v>0.39547356486802032</v>
      </c>
      <c r="AV49" s="316">
        <f t="shared" si="66"/>
        <v>2.5742257488220011E-2</v>
      </c>
      <c r="AW49" s="338">
        <f t="shared" si="66"/>
        <v>0.42121582235624033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0.40787643637001364</v>
      </c>
      <c r="AC50" s="294">
        <f t="shared" si="50"/>
        <v>1.9345803214083714</v>
      </c>
      <c r="AD50" s="315">
        <f t="shared" si="51"/>
        <v>0.71797095356592577</v>
      </c>
      <c r="AE50" s="315">
        <f t="shared" si="52"/>
        <v>0.99688959556336743</v>
      </c>
      <c r="AF50" s="316">
        <f t="shared" si="53"/>
        <v>0.7148605491292932</v>
      </c>
      <c r="AG50" s="316">
        <f t="shared" si="54"/>
        <v>0.28202904643407423</v>
      </c>
      <c r="AH50" s="316">
        <f t="shared" si="55"/>
        <v>3.1104044366325745E-3</v>
      </c>
      <c r="AI50" s="316">
        <f t="shared" si="56"/>
        <v>0.2851394508707068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0.27241141994520413</v>
      </c>
      <c r="AQ50" s="294">
        <f t="shared" si="62"/>
        <v>1.2920623143692056</v>
      </c>
      <c r="AR50" s="315">
        <f t="shared" si="63"/>
        <v>0.64997313022298142</v>
      </c>
      <c r="AS50" s="315">
        <f t="shared" si="64"/>
        <v>0.96616905931469954</v>
      </c>
      <c r="AT50" s="316">
        <f t="shared" si="65"/>
        <v>0.61614218953768107</v>
      </c>
      <c r="AU50" s="316">
        <f t="shared" si="66"/>
        <v>0.35002686977701858</v>
      </c>
      <c r="AV50" s="316">
        <f t="shared" si="66"/>
        <v>3.3830940685300459E-2</v>
      </c>
      <c r="AW50" s="338">
        <f t="shared" si="66"/>
        <v>0.38385781046231893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0.53510176012321009</v>
      </c>
      <c r="AC51" s="294">
        <f t="shared" si="50"/>
        <v>1.8073549976551755</v>
      </c>
      <c r="AD51" s="315">
        <f t="shared" si="51"/>
        <v>0.77539962400894735</v>
      </c>
      <c r="AE51" s="315">
        <f t="shared" si="52"/>
        <v>0.99470563028463466</v>
      </c>
      <c r="AF51" s="316">
        <f t="shared" si="53"/>
        <v>0.77010525429358201</v>
      </c>
      <c r="AG51" s="316">
        <f t="shared" si="54"/>
        <v>0.22460037599105265</v>
      </c>
      <c r="AH51" s="316">
        <f t="shared" si="55"/>
        <v>5.2943697153653435E-3</v>
      </c>
      <c r="AI51" s="316">
        <f t="shared" si="56"/>
        <v>0.22989474570641799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0.35738232781387086</v>
      </c>
      <c r="AQ51" s="294">
        <f t="shared" si="62"/>
        <v>1.2070914065005391</v>
      </c>
      <c r="AR51" s="315">
        <f t="shared" si="63"/>
        <v>0.69336628437281367</v>
      </c>
      <c r="AS51" s="315">
        <f t="shared" si="64"/>
        <v>0.95609687618036698</v>
      </c>
      <c r="AT51" s="316">
        <f t="shared" si="65"/>
        <v>0.64946316055318065</v>
      </c>
      <c r="AU51" s="316">
        <f t="shared" si="66"/>
        <v>0.30663371562718633</v>
      </c>
      <c r="AV51" s="316">
        <f t="shared" si="66"/>
        <v>4.3903123819633016E-2</v>
      </c>
      <c r="AW51" s="338">
        <f t="shared" si="66"/>
        <v>0.35053683944681935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0.66232708387640671</v>
      </c>
      <c r="AC52" s="294">
        <f t="shared" si="50"/>
        <v>1.6801296739019789</v>
      </c>
      <c r="AD52" s="315">
        <f t="shared" si="51"/>
        <v>0.82553633409629545</v>
      </c>
      <c r="AE52" s="315">
        <f t="shared" si="52"/>
        <v>0.991250742910607</v>
      </c>
      <c r="AF52" s="316">
        <f t="shared" si="53"/>
        <v>0.81678707700690234</v>
      </c>
      <c r="AG52" s="316">
        <f t="shared" si="54"/>
        <v>0.17446366590370455</v>
      </c>
      <c r="AH52" s="316">
        <f t="shared" si="55"/>
        <v>8.7492570893930033E-3</v>
      </c>
      <c r="AI52" s="316">
        <f t="shared" si="56"/>
        <v>0.18321292299309766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0.44235323568253776</v>
      </c>
      <c r="AQ52" s="294">
        <f t="shared" si="62"/>
        <v>1.1221204986318722</v>
      </c>
      <c r="AR52" s="315">
        <f t="shared" si="63"/>
        <v>0.73420540793579614</v>
      </c>
      <c r="AS52" s="315">
        <f t="shared" si="64"/>
        <v>0.94373439433820538</v>
      </c>
      <c r="AT52" s="316">
        <f t="shared" si="65"/>
        <v>0.67793980227400152</v>
      </c>
      <c r="AU52" s="316">
        <f t="shared" si="66"/>
        <v>0.26579459206420386</v>
      </c>
      <c r="AV52" s="316">
        <f t="shared" si="66"/>
        <v>5.6265605661794615E-2</v>
      </c>
      <c r="AW52" s="338">
        <f t="shared" si="66"/>
        <v>0.32206019772599848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0.78955240762960321</v>
      </c>
      <c r="AC53" s="294">
        <f t="shared" si="50"/>
        <v>1.5529043501487825</v>
      </c>
      <c r="AD53" s="315">
        <f t="shared" si="51"/>
        <v>0.86791638942642813</v>
      </c>
      <c r="AE53" s="315">
        <f t="shared" si="52"/>
        <v>0.98595898034629548</v>
      </c>
      <c r="AF53" s="316">
        <f t="shared" si="53"/>
        <v>0.85387536977272349</v>
      </c>
      <c r="AG53" s="316">
        <f t="shared" si="54"/>
        <v>0.13208361057357187</v>
      </c>
      <c r="AH53" s="316">
        <f t="shared" si="55"/>
        <v>1.4041019653704523E-2</v>
      </c>
      <c r="AI53" s="316">
        <f t="shared" si="56"/>
        <v>0.14612463022727651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0.52732414355120449</v>
      </c>
      <c r="AQ53" s="294">
        <f t="shared" si="62"/>
        <v>1.0371495907632056</v>
      </c>
      <c r="AR53" s="315">
        <f t="shared" si="63"/>
        <v>0.77209045997771453</v>
      </c>
      <c r="AS53" s="315">
        <f t="shared" si="64"/>
        <v>0.9287781005422977</v>
      </c>
      <c r="AT53" s="316">
        <f t="shared" si="65"/>
        <v>0.70086856052001223</v>
      </c>
      <c r="AU53" s="316">
        <f t="shared" si="66"/>
        <v>0.22790954002228547</v>
      </c>
      <c r="AV53" s="316">
        <f t="shared" si="66"/>
        <v>7.1221899457702298E-2</v>
      </c>
      <c r="AW53" s="338">
        <f t="shared" si="66"/>
        <v>0.29913143947998777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0.9167777313827995</v>
      </c>
      <c r="AC54" s="294">
        <f t="shared" si="50"/>
        <v>1.4256790263955859</v>
      </c>
      <c r="AD54" s="315">
        <f t="shared" si="51"/>
        <v>0.90260171708210535</v>
      </c>
      <c r="AE54" s="315">
        <f t="shared" si="52"/>
        <v>0.97811123057520111</v>
      </c>
      <c r="AF54" s="316">
        <f t="shared" si="53"/>
        <v>0.88071294765730634</v>
      </c>
      <c r="AG54" s="316">
        <f t="shared" si="54"/>
        <v>9.7398282917894652E-2</v>
      </c>
      <c r="AH54" s="316">
        <f t="shared" si="55"/>
        <v>2.1888769424798893E-2</v>
      </c>
      <c r="AI54" s="316">
        <f t="shared" si="56"/>
        <v>0.11928705234269366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0.61229505141987117</v>
      </c>
      <c r="AQ54" s="294">
        <f t="shared" si="62"/>
        <v>0.95217868289453866</v>
      </c>
      <c r="AR54" s="315">
        <f t="shared" si="63"/>
        <v>0.80673187655325185</v>
      </c>
      <c r="AS54" s="315">
        <f t="shared" si="64"/>
        <v>0.9109428761164462</v>
      </c>
      <c r="AT54" s="316">
        <f t="shared" si="65"/>
        <v>0.71767475266969805</v>
      </c>
      <c r="AU54" s="316">
        <f t="shared" si="66"/>
        <v>0.19326812344674815</v>
      </c>
      <c r="AV54" s="316">
        <f t="shared" si="66"/>
        <v>8.9057123883553801E-2</v>
      </c>
      <c r="AW54" s="338">
        <f t="shared" si="66"/>
        <v>0.28232524733030195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1.044003055135996</v>
      </c>
      <c r="AC55" s="294">
        <f t="shared" si="50"/>
        <v>1.2984537026423892</v>
      </c>
      <c r="AD55" s="315">
        <f t="shared" si="51"/>
        <v>0.9300875343131475</v>
      </c>
      <c r="AE55" s="315">
        <f t="shared" si="52"/>
        <v>0.96684267284376679</v>
      </c>
      <c r="AF55" s="316">
        <f t="shared" si="53"/>
        <v>0.89693020715691429</v>
      </c>
      <c r="AG55" s="316">
        <f t="shared" si="54"/>
        <v>6.9912465686852499E-2</v>
      </c>
      <c r="AH55" s="316">
        <f t="shared" si="55"/>
        <v>3.3157327156233207E-2</v>
      </c>
      <c r="AI55" s="316">
        <f t="shared" si="56"/>
        <v>0.10306979284308571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0.69726595928853807</v>
      </c>
      <c r="AQ55" s="294">
        <f t="shared" si="62"/>
        <v>0.86720777502587187</v>
      </c>
      <c r="AR55" s="315">
        <f t="shared" si="63"/>
        <v>0.83795380162209054</v>
      </c>
      <c r="AS55" s="315">
        <f t="shared" si="64"/>
        <v>0.88997910346217135</v>
      </c>
      <c r="AT55" s="316">
        <f t="shared" si="65"/>
        <v>0.72793290508426178</v>
      </c>
      <c r="AU55" s="316">
        <f t="shared" si="66"/>
        <v>0.16204619837790946</v>
      </c>
      <c r="AV55" s="316">
        <f t="shared" si="66"/>
        <v>0.11002089653782865</v>
      </c>
      <c r="AW55" s="338">
        <f t="shared" si="66"/>
        <v>0.27206709491573822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1.1712283788891926</v>
      </c>
      <c r="AC56" s="294">
        <f t="shared" si="50"/>
        <v>1.1712283788891926</v>
      </c>
      <c r="AD56" s="315">
        <f t="shared" si="51"/>
        <v>0.95117624600647743</v>
      </c>
      <c r="AE56" s="315">
        <f t="shared" si="52"/>
        <v>0.95117624600647743</v>
      </c>
      <c r="AF56" s="316">
        <f t="shared" si="53"/>
        <v>0.90235249201295487</v>
      </c>
      <c r="AG56" s="316">
        <f t="shared" si="54"/>
        <v>4.8823753993522567E-2</v>
      </c>
      <c r="AH56" s="316">
        <f t="shared" si="55"/>
        <v>4.8823753993522567E-2</v>
      </c>
      <c r="AI56" s="316">
        <f t="shared" si="56"/>
        <v>9.7647507987045135E-2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0.78223686715720486</v>
      </c>
      <c r="AQ56" s="294">
        <f t="shared" si="62"/>
        <v>0.78223686715720497</v>
      </c>
      <c r="AR56" s="315">
        <f t="shared" si="63"/>
        <v>0.86569083371491207</v>
      </c>
      <c r="AS56" s="315">
        <f t="shared" si="64"/>
        <v>0.86569083371491207</v>
      </c>
      <c r="AT56" s="316">
        <f t="shared" si="65"/>
        <v>0.73138166742982413</v>
      </c>
      <c r="AU56" s="316">
        <f t="shared" si="66"/>
        <v>0.13430916628508793</v>
      </c>
      <c r="AV56" s="316">
        <f t="shared" si="66"/>
        <v>0.13430916628508793</v>
      </c>
      <c r="AW56" s="338">
        <f t="shared" si="66"/>
        <v>0.26861833257017587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1.298453702642389</v>
      </c>
      <c r="AC57" s="294">
        <f t="shared" si="50"/>
        <v>1.0440030551359964</v>
      </c>
      <c r="AD57" s="315">
        <f t="shared" si="51"/>
        <v>0.96684267284376679</v>
      </c>
      <c r="AE57" s="315">
        <f t="shared" si="52"/>
        <v>0.93008753431314761</v>
      </c>
      <c r="AF57" s="316">
        <f t="shared" si="53"/>
        <v>0.89693020715691452</v>
      </c>
      <c r="AG57" s="316">
        <f t="shared" si="54"/>
        <v>3.3157327156233207E-2</v>
      </c>
      <c r="AH57" s="316">
        <f t="shared" si="55"/>
        <v>6.9912465686852387E-2</v>
      </c>
      <c r="AI57" s="316">
        <f t="shared" si="56"/>
        <v>0.10306979284308548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0.86720777502587165</v>
      </c>
      <c r="AQ57" s="294">
        <f t="shared" si="62"/>
        <v>0.6972659592885383</v>
      </c>
      <c r="AR57" s="315">
        <f t="shared" si="63"/>
        <v>0.88997910346217124</v>
      </c>
      <c r="AS57" s="315">
        <f t="shared" si="64"/>
        <v>0.83795380162209065</v>
      </c>
      <c r="AT57" s="316">
        <f t="shared" si="65"/>
        <v>0.72793290508426178</v>
      </c>
      <c r="AU57" s="316">
        <f t="shared" si="66"/>
        <v>0.11002089653782876</v>
      </c>
      <c r="AV57" s="316">
        <f t="shared" si="66"/>
        <v>0.16204619837790935</v>
      </c>
      <c r="AW57" s="338">
        <f t="shared" si="66"/>
        <v>0.27206709491573822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1.4256790263955856</v>
      </c>
      <c r="AC58" s="294">
        <f t="shared" si="50"/>
        <v>0.91677773138279972</v>
      </c>
      <c r="AD58" s="315">
        <f t="shared" si="51"/>
        <v>0.97811123057520111</v>
      </c>
      <c r="AE58" s="315">
        <f t="shared" si="52"/>
        <v>0.90260171708210546</v>
      </c>
      <c r="AF58" s="316">
        <f t="shared" si="53"/>
        <v>0.88071294765730657</v>
      </c>
      <c r="AG58" s="316">
        <f t="shared" si="54"/>
        <v>2.1888769424798893E-2</v>
      </c>
      <c r="AH58" s="316">
        <f t="shared" si="55"/>
        <v>9.7398282917894541E-2</v>
      </c>
      <c r="AI58" s="316">
        <f t="shared" si="56"/>
        <v>0.11928705234269343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0.95217868289453855</v>
      </c>
      <c r="AQ58" s="294">
        <f t="shared" si="62"/>
        <v>0.61229505141987139</v>
      </c>
      <c r="AR58" s="315">
        <f t="shared" si="63"/>
        <v>0.9109428761164462</v>
      </c>
      <c r="AS58" s="315">
        <f t="shared" si="64"/>
        <v>0.80673187655325185</v>
      </c>
      <c r="AT58" s="316">
        <f t="shared" si="65"/>
        <v>0.71767475266969805</v>
      </c>
      <c r="AU58" s="316">
        <f t="shared" si="66"/>
        <v>8.9057123883553801E-2</v>
      </c>
      <c r="AV58" s="316">
        <f t="shared" si="66"/>
        <v>0.19326812344674815</v>
      </c>
      <c r="AW58" s="338">
        <f t="shared" si="66"/>
        <v>0.28232524733030195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1.5529043501487825</v>
      </c>
      <c r="AC59" s="294">
        <f t="shared" si="50"/>
        <v>0.78955240762960299</v>
      </c>
      <c r="AD59" s="315">
        <f t="shared" si="51"/>
        <v>0.98595898034629548</v>
      </c>
      <c r="AE59" s="315">
        <f t="shared" si="52"/>
        <v>0.86791638942642813</v>
      </c>
      <c r="AF59" s="316">
        <f t="shared" si="53"/>
        <v>0.85387536977272349</v>
      </c>
      <c r="AG59" s="316">
        <f t="shared" si="54"/>
        <v>1.4041019653704523E-2</v>
      </c>
      <c r="AH59" s="316">
        <f t="shared" si="55"/>
        <v>0.13208361057357187</v>
      </c>
      <c r="AI59" s="316">
        <f t="shared" si="56"/>
        <v>0.14612463022727651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1.0371495907632056</v>
      </c>
      <c r="AQ59" s="294">
        <f t="shared" si="62"/>
        <v>0.52732414355120438</v>
      </c>
      <c r="AR59" s="315">
        <f t="shared" si="63"/>
        <v>0.9287781005422977</v>
      </c>
      <c r="AS59" s="315">
        <f t="shared" si="64"/>
        <v>0.77209045997771453</v>
      </c>
      <c r="AT59" s="316">
        <f t="shared" si="65"/>
        <v>0.70086856052001223</v>
      </c>
      <c r="AU59" s="316">
        <f t="shared" si="66"/>
        <v>7.1221899457702298E-2</v>
      </c>
      <c r="AV59" s="316">
        <f t="shared" si="66"/>
        <v>0.22790954002228547</v>
      </c>
      <c r="AW59" s="338">
        <f t="shared" si="66"/>
        <v>0.29913143947998777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1.6801296739019791</v>
      </c>
      <c r="AC60" s="294">
        <f t="shared" si="50"/>
        <v>0.66232708387640638</v>
      </c>
      <c r="AD60" s="315">
        <f t="shared" si="51"/>
        <v>0.99125074291060711</v>
      </c>
      <c r="AE60" s="315">
        <f t="shared" si="52"/>
        <v>0.82553633409629534</v>
      </c>
      <c r="AF60" s="316">
        <f t="shared" si="53"/>
        <v>0.81678707700690234</v>
      </c>
      <c r="AG60" s="316">
        <f t="shared" si="54"/>
        <v>8.7492570893928923E-3</v>
      </c>
      <c r="AH60" s="316">
        <f t="shared" si="55"/>
        <v>0.17446366590370466</v>
      </c>
      <c r="AI60" s="316">
        <f t="shared" si="56"/>
        <v>0.18321292299309766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1.1221204986318725</v>
      </c>
      <c r="AQ60" s="294">
        <f t="shared" si="62"/>
        <v>0.44235323568253754</v>
      </c>
      <c r="AR60" s="315">
        <f t="shared" si="63"/>
        <v>0.9437343943382055</v>
      </c>
      <c r="AS60" s="315">
        <f t="shared" si="64"/>
        <v>0.73420540793579603</v>
      </c>
      <c r="AT60" s="316">
        <f t="shared" si="65"/>
        <v>0.67793980227400152</v>
      </c>
      <c r="AU60" s="316">
        <f t="shared" si="66"/>
        <v>5.6265605661794504E-2</v>
      </c>
      <c r="AV60" s="316">
        <f t="shared" si="66"/>
        <v>0.26579459206420397</v>
      </c>
      <c r="AW60" s="338">
        <f t="shared" si="66"/>
        <v>0.32206019772599848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1.8073549976551755</v>
      </c>
      <c r="AC61" s="294">
        <f t="shared" si="50"/>
        <v>0.53510176012320976</v>
      </c>
      <c r="AD61" s="315">
        <f t="shared" si="51"/>
        <v>0.99470563028463466</v>
      </c>
      <c r="AE61" s="315">
        <f t="shared" si="52"/>
        <v>0.77539962400894713</v>
      </c>
      <c r="AF61" s="316">
        <f t="shared" si="53"/>
        <v>0.77010525429358179</v>
      </c>
      <c r="AG61" s="316">
        <f t="shared" si="54"/>
        <v>5.2943697153653435E-3</v>
      </c>
      <c r="AH61" s="316">
        <f t="shared" si="55"/>
        <v>0.22460037599105287</v>
      </c>
      <c r="AI61" s="316">
        <f t="shared" si="56"/>
        <v>0.22989474570641821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1.2070914065005391</v>
      </c>
      <c r="AQ61" s="294">
        <f t="shared" si="62"/>
        <v>0.35738232781387069</v>
      </c>
      <c r="AR61" s="315">
        <f t="shared" si="63"/>
        <v>0.95609687618036698</v>
      </c>
      <c r="AS61" s="315">
        <f t="shared" si="64"/>
        <v>0.69336628437281356</v>
      </c>
      <c r="AT61" s="316">
        <f t="shared" si="65"/>
        <v>0.64946316055318043</v>
      </c>
      <c r="AU61" s="316">
        <f t="shared" si="66"/>
        <v>4.3903123819633016E-2</v>
      </c>
      <c r="AV61" s="316">
        <f t="shared" si="66"/>
        <v>0.30663371562718644</v>
      </c>
      <c r="AW61" s="338">
        <f t="shared" si="66"/>
        <v>0.35053683944681957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1.9345803214083721</v>
      </c>
      <c r="AC62" s="294">
        <f t="shared" si="50"/>
        <v>0.40787643637001325</v>
      </c>
      <c r="AD62" s="315">
        <f t="shared" si="51"/>
        <v>0.99688959556336743</v>
      </c>
      <c r="AE62" s="315">
        <f t="shared" si="52"/>
        <v>0.71797095356592555</v>
      </c>
      <c r="AF62" s="316">
        <f t="shared" si="53"/>
        <v>0.71486054912929298</v>
      </c>
      <c r="AG62" s="316">
        <f t="shared" si="54"/>
        <v>3.1104044366325745E-3</v>
      </c>
      <c r="AH62" s="316">
        <f t="shared" si="55"/>
        <v>0.28202904643407445</v>
      </c>
      <c r="AI62" s="316">
        <f t="shared" si="56"/>
        <v>0.28513945087070702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1.292062314369206</v>
      </c>
      <c r="AQ62" s="294">
        <f t="shared" si="62"/>
        <v>0.27241141994520385</v>
      </c>
      <c r="AR62" s="315">
        <f t="shared" si="63"/>
        <v>0.96616905931469954</v>
      </c>
      <c r="AS62" s="315">
        <f t="shared" si="64"/>
        <v>0.64997313022298131</v>
      </c>
      <c r="AT62" s="316">
        <f t="shared" si="65"/>
        <v>0.61614218953768085</v>
      </c>
      <c r="AU62" s="316">
        <f t="shared" si="66"/>
        <v>3.3830940685300459E-2</v>
      </c>
      <c r="AV62" s="316">
        <f t="shared" si="66"/>
        <v>0.35002686977701869</v>
      </c>
      <c r="AW62" s="338">
        <f t="shared" si="66"/>
        <v>0.38385781046231915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2.0618056451615687</v>
      </c>
      <c r="AC63" s="294">
        <f t="shared" si="50"/>
        <v>0.28065111261681669</v>
      </c>
      <c r="AD63" s="315">
        <f t="shared" si="51"/>
        <v>0.9982263012629804</v>
      </c>
      <c r="AE63" s="315">
        <f t="shared" si="52"/>
        <v>0.65427962273084628</v>
      </c>
      <c r="AF63" s="316">
        <f t="shared" si="53"/>
        <v>0.65250592399382668</v>
      </c>
      <c r="AG63" s="316">
        <f t="shared" si="54"/>
        <v>1.7736987370196022E-3</v>
      </c>
      <c r="AH63" s="316">
        <f t="shared" si="55"/>
        <v>0.34572037726915372</v>
      </c>
      <c r="AI63" s="316">
        <f t="shared" si="56"/>
        <v>0.34749407600617332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1.3770332222378729</v>
      </c>
      <c r="AQ63" s="294">
        <f t="shared" si="62"/>
        <v>0.187440512076537</v>
      </c>
      <c r="AR63" s="315">
        <f t="shared" si="63"/>
        <v>0.97425774251177999</v>
      </c>
      <c r="AS63" s="315">
        <f t="shared" si="64"/>
        <v>0.60452643513197946</v>
      </c>
      <c r="AT63" s="316">
        <f t="shared" si="65"/>
        <v>0.57878417764375945</v>
      </c>
      <c r="AU63" s="316">
        <f t="shared" si="66"/>
        <v>2.5742257488220011E-2</v>
      </c>
      <c r="AV63" s="316">
        <f t="shared" si="66"/>
        <v>0.39547356486802054</v>
      </c>
      <c r="AW63" s="338">
        <f t="shared" si="66"/>
        <v>0.42121582235624055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2.1890309689147656</v>
      </c>
      <c r="AC64" s="294">
        <f t="shared" si="50"/>
        <v>0.15342578886361982</v>
      </c>
      <c r="AD64" s="315">
        <f t="shared" si="51"/>
        <v>0.99901844509718585</v>
      </c>
      <c r="AE64" s="315">
        <f t="shared" si="52"/>
        <v>0.58588679966309931</v>
      </c>
      <c r="AF64" s="316">
        <f t="shared" si="53"/>
        <v>0.58490524476028516</v>
      </c>
      <c r="AG64" s="316">
        <f t="shared" si="54"/>
        <v>9.8155490281415236E-4</v>
      </c>
      <c r="AH64" s="316">
        <f t="shared" si="55"/>
        <v>0.41411320033690069</v>
      </c>
      <c r="AI64" s="316">
        <f t="shared" si="56"/>
        <v>0.41509475523971484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1.4620041301065398</v>
      </c>
      <c r="AQ64" s="294">
        <f t="shared" si="62"/>
        <v>0.10246960420786998</v>
      </c>
      <c r="AR64" s="315">
        <f t="shared" si="63"/>
        <v>0.98066051841512669</v>
      </c>
      <c r="AS64" s="315">
        <f t="shared" si="64"/>
        <v>0.55761057574401862</v>
      </c>
      <c r="AT64" s="316">
        <f t="shared" si="65"/>
        <v>0.53827109415914531</v>
      </c>
      <c r="AU64" s="316">
        <f t="shared" si="66"/>
        <v>1.9339481584873308E-2</v>
      </c>
      <c r="AV64" s="316">
        <f t="shared" si="66"/>
        <v>0.44238942425598138</v>
      </c>
      <c r="AW64" s="338">
        <f t="shared" si="66"/>
        <v>0.46172890584085469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2.3162562926679624</v>
      </c>
      <c r="AC65" s="294">
        <f t="shared" si="50"/>
        <v>2.6200465110423243E-2</v>
      </c>
      <c r="AD65" s="315">
        <f t="shared" si="51"/>
        <v>0.99947296238406103</v>
      </c>
      <c r="AE65" s="315">
        <f t="shared" si="52"/>
        <v>0.51477864775033944</v>
      </c>
      <c r="AF65" s="316">
        <f t="shared" si="53"/>
        <v>0.51425161013440057</v>
      </c>
      <c r="AG65" s="316">
        <f t="shared" si="54"/>
        <v>5.2703761593897447E-4</v>
      </c>
      <c r="AH65" s="316">
        <f t="shared" si="55"/>
        <v>0.48522135224966056</v>
      </c>
      <c r="AI65" s="316">
        <f t="shared" si="56"/>
        <v>0.48574838986559943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1.5469750379752067</v>
      </c>
      <c r="AQ65" s="294">
        <f t="shared" si="62"/>
        <v>1.7498696339203128E-2</v>
      </c>
      <c r="AR65" s="315">
        <f t="shared" si="63"/>
        <v>0.98565620332157455</v>
      </c>
      <c r="AS65" s="315">
        <f t="shared" si="64"/>
        <v>0.50987157461685395</v>
      </c>
      <c r="AT65" s="316">
        <f t="shared" si="65"/>
        <v>0.49552777793842839</v>
      </c>
      <c r="AU65" s="316">
        <f t="shared" si="66"/>
        <v>1.4343796678425447E-2</v>
      </c>
      <c r="AV65" s="316">
        <f t="shared" si="66"/>
        <v>0.49012842538314605</v>
      </c>
      <c r="AW65" s="338">
        <f t="shared" si="66"/>
        <v>0.50447222206157161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2.4434816164211584</v>
      </c>
      <c r="AC66" s="294">
        <f t="shared" si="50"/>
        <v>-0.10102485864277308</v>
      </c>
      <c r="AD66" s="315">
        <f t="shared" si="51"/>
        <v>0.99972547019197955</v>
      </c>
      <c r="AE66" s="315">
        <f t="shared" si="52"/>
        <v>0.44319613961667598</v>
      </c>
      <c r="AF66" s="316">
        <f t="shared" si="53"/>
        <v>0.44292160980865547</v>
      </c>
      <c r="AG66" s="316">
        <f t="shared" si="54"/>
        <v>2.7452980802045168E-4</v>
      </c>
      <c r="AH66" s="316">
        <f t="shared" si="55"/>
        <v>0.55680386038332408</v>
      </c>
      <c r="AI66" s="316">
        <f t="shared" si="56"/>
        <v>0.55707839019134453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1.6319459458438734</v>
      </c>
      <c r="AQ66" s="294">
        <f t="shared" si="62"/>
        <v>-6.7472211529463547E-2</v>
      </c>
      <c r="AR66" s="315">
        <f t="shared" si="63"/>
        <v>0.98949820926788767</v>
      </c>
      <c r="AS66" s="315">
        <f t="shared" si="64"/>
        <v>0.46199056911097913</v>
      </c>
      <c r="AT66" s="316">
        <f t="shared" si="65"/>
        <v>0.45148877837886681</v>
      </c>
      <c r="AU66" s="316">
        <f t="shared" si="66"/>
        <v>1.0501790732112326E-2</v>
      </c>
      <c r="AV66" s="316">
        <f t="shared" si="66"/>
        <v>0.53800943088902087</v>
      </c>
      <c r="AW66" s="338">
        <f t="shared" si="66"/>
        <v>0.54851122162113319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2.5707069401743552</v>
      </c>
      <c r="AC67" s="294">
        <f t="shared" si="50"/>
        <v>-0.22825018239596967</v>
      </c>
      <c r="AD67" s="315">
        <f t="shared" si="51"/>
        <v>0.99986129440402172</v>
      </c>
      <c r="AE67" s="315">
        <f t="shared" si="52"/>
        <v>0.37342543795016464</v>
      </c>
      <c r="AF67" s="316">
        <f t="shared" si="53"/>
        <v>0.37328673235418641</v>
      </c>
      <c r="AG67" s="316">
        <f t="shared" si="54"/>
        <v>1.3870559597828347E-4</v>
      </c>
      <c r="AH67" s="316">
        <f t="shared" si="55"/>
        <v>0.6265745620498353</v>
      </c>
      <c r="AI67" s="316">
        <f t="shared" si="56"/>
        <v>0.62671326764581359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1.7169168537125403</v>
      </c>
      <c r="AQ67" s="294">
        <f t="shared" si="62"/>
        <v>-0.15244311939813041</v>
      </c>
      <c r="AR67" s="315">
        <f t="shared" si="63"/>
        <v>0.99241065124748462</v>
      </c>
      <c r="AS67" s="315">
        <f t="shared" si="64"/>
        <v>0.4146547955298644</v>
      </c>
      <c r="AT67" s="316">
        <f t="shared" si="65"/>
        <v>0.40706544677734913</v>
      </c>
      <c r="AU67" s="316">
        <f t="shared" si="66"/>
        <v>7.5893487525153791E-3</v>
      </c>
      <c r="AV67" s="316">
        <f t="shared" si="66"/>
        <v>0.5853452044701356</v>
      </c>
      <c r="AW67" s="338">
        <f t="shared" si="66"/>
        <v>0.59293455322265087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2.6979322639275516</v>
      </c>
      <c r="AC68" s="294">
        <f t="shared" si="50"/>
        <v>-0.35547550614916623</v>
      </c>
      <c r="AD68" s="315">
        <f t="shared" si="51"/>
        <v>0.99993203317000612</v>
      </c>
      <c r="AE68" s="315">
        <f t="shared" si="52"/>
        <v>0.30758117716546102</v>
      </c>
      <c r="AF68" s="316">
        <f t="shared" si="53"/>
        <v>0.30751321033546719</v>
      </c>
      <c r="AG68" s="316">
        <f t="shared" si="54"/>
        <v>6.7966829993881817E-5</v>
      </c>
      <c r="AH68" s="316">
        <f t="shared" si="55"/>
        <v>0.69241882283453893</v>
      </c>
      <c r="AI68" s="316">
        <f t="shared" si="56"/>
        <v>0.69248678966453281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1.8018877615812072</v>
      </c>
      <c r="AQ68" s="294">
        <f t="shared" si="62"/>
        <v>-0.23741402726679722</v>
      </c>
      <c r="AR68" s="315">
        <f t="shared" si="63"/>
        <v>0.99458682107265117</v>
      </c>
      <c r="AS68" s="315">
        <f t="shared" si="64"/>
        <v>0.36852813877153634</v>
      </c>
      <c r="AT68" s="316">
        <f t="shared" si="65"/>
        <v>0.36311495984418762</v>
      </c>
      <c r="AU68" s="316">
        <f t="shared" si="66"/>
        <v>5.4131789273488273E-3</v>
      </c>
      <c r="AV68" s="316">
        <f t="shared" si="66"/>
        <v>0.63147186122846366</v>
      </c>
      <c r="AW68" s="338">
        <f t="shared" si="66"/>
        <v>0.63688504015581238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2.8251575876807489</v>
      </c>
      <c r="AC69" s="294">
        <f t="shared" si="50"/>
        <v>-0.48270082990236335</v>
      </c>
      <c r="AD69" s="315">
        <f t="shared" si="51"/>
        <v>0.99996770419508241</v>
      </c>
      <c r="AE69" s="315">
        <f t="shared" si="52"/>
        <v>0.24741652483947368</v>
      </c>
      <c r="AF69" s="316">
        <f t="shared" si="53"/>
        <v>0.24738422903455604</v>
      </c>
      <c r="AG69" s="316">
        <f t="shared" si="54"/>
        <v>3.2295804917592541E-5</v>
      </c>
      <c r="AH69" s="316">
        <f t="shared" si="55"/>
        <v>0.75258347516052626</v>
      </c>
      <c r="AI69" s="316">
        <f t="shared" si="56"/>
        <v>0.75261577096544396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1.8868586694498746</v>
      </c>
      <c r="AQ69" s="319">
        <f t="shared" si="62"/>
        <v>-0.32238493513546446</v>
      </c>
      <c r="AR69" s="320">
        <f t="shared" si="63"/>
        <v>0.99618956645696621</v>
      </c>
      <c r="AS69" s="320">
        <f t="shared" si="64"/>
        <v>0.32422334087972615</v>
      </c>
      <c r="AT69" s="321">
        <f t="shared" si="65"/>
        <v>0.32041290733669237</v>
      </c>
      <c r="AU69" s="321">
        <f t="shared" si="66"/>
        <v>3.8104335430337866E-3</v>
      </c>
      <c r="AV69" s="321">
        <f t="shared" si="66"/>
        <v>0.67577665912027385</v>
      </c>
      <c r="AW69" s="340">
        <f t="shared" si="66"/>
        <v>0.67958709266330763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2.9523829114339448</v>
      </c>
      <c r="AC70" s="294">
        <f t="shared" si="50"/>
        <v>-0.60992615365555936</v>
      </c>
      <c r="AD70" s="315">
        <f t="shared" si="51"/>
        <v>0.99998512031652909</v>
      </c>
      <c r="AE70" s="315">
        <f t="shared" si="52"/>
        <v>0.1941881097827719</v>
      </c>
      <c r="AF70" s="316">
        <f t="shared" si="53"/>
        <v>0.1941732300993011</v>
      </c>
      <c r="AG70" s="316">
        <f t="shared" si="54"/>
        <v>1.4879683470914173E-5</v>
      </c>
      <c r="AH70" s="316">
        <f t="shared" si="55"/>
        <v>0.8058118902172281</v>
      </c>
      <c r="AI70" s="316">
        <f t="shared" si="56"/>
        <v>0.8058267699006989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3.0796082351871421</v>
      </c>
      <c r="AC71" s="319">
        <f t="shared" si="50"/>
        <v>-0.73715147740875653</v>
      </c>
      <c r="AD71" s="320">
        <f t="shared" si="51"/>
        <v>0.99999335344626394</v>
      </c>
      <c r="AE71" s="320">
        <f t="shared" si="52"/>
        <v>0.14859236844567747</v>
      </c>
      <c r="AF71" s="321">
        <f t="shared" si="53"/>
        <v>0.14858572189194152</v>
      </c>
      <c r="AG71" s="321">
        <f t="shared" si="54"/>
        <v>6.6465537360560489E-6</v>
      </c>
      <c r="AH71" s="321">
        <f t="shared" si="55"/>
        <v>0.85140763155432253</v>
      </c>
      <c r="AI71" s="321">
        <f t="shared" si="56"/>
        <v>0.85141427810805848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zoomScale="70" zoomScaleNormal="70" workbookViewId="0">
      <selection activeCell="P12" sqref="P1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0" t="str">
        <f>Notes!A1</f>
        <v>10GEPBud3_1_16a.xls</v>
      </c>
      <c r="S1" s="481"/>
      <c r="T1" s="481"/>
      <c r="U1" s="481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1.1733554916643634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2" t="s">
        <v>268</v>
      </c>
      <c r="K2" s="482"/>
      <c r="L2" s="483" t="s">
        <v>269</v>
      </c>
      <c r="M2" s="484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1.1733554916643634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6.6000000000000003E-2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0.6696137874755772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0.8059195991442083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3.5999999999999997E-2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0.066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0.8059195991442083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7.5902743719662852E-4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1.5+0.63</f>
        <v>2.13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5.17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68.941076878592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1.4282682567498015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0.69321707509001285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3.497700856610245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0.91844272657892512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400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0.76261666513143478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400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2.1372451902384788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200000</v>
      </c>
      <c r="H17" s="46">
        <f t="shared" ref="H17:H38" si="6">SQRT((1000*C_1/F17)^2+(1000*C_1/G17)^2+$G$3^2)</f>
        <v>53.184468002749526</v>
      </c>
      <c r="I17" s="46">
        <f t="shared" ref="I17:I38" si="7">SQRT(H17^2+$T$7^2)</f>
        <v>66.474847569715024</v>
      </c>
      <c r="J17" s="424">
        <f t="shared" ref="J17:J38" si="8">-10*LOG10(2*Z17 - 1)</f>
        <v>0.8119618122118466</v>
      </c>
      <c r="K17" s="251">
        <f t="shared" ref="K17:K38" si="9">-10*LOG10(AB17)-J17</f>
        <v>0.2346282352480249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5.6780213774980548E-2</v>
      </c>
      <c r="T17" s="209">
        <f>J17+L17+B17+Q17+S17+Pmn</f>
        <v>1.1759872163865042</v>
      </c>
      <c r="U17" s="277">
        <f>J17+K17+B17+Q17+S17+Pmn+M17</f>
        <v>1.4106154516345291</v>
      </c>
      <c r="V17" s="178">
        <f t="shared" ref="V17:V38" si="15">T17-B17</f>
        <v>1.168742026148025</v>
      </c>
      <c r="W17" s="179">
        <f t="shared" ref="W17:W38" si="16">$L$8-T17</f>
        <v>3.9940127836134955</v>
      </c>
      <c r="X17" s="455">
        <f t="shared" ref="X17:X38" si="17">$C$8-C17-(Q17+N17+R17+S17/2+Pmn) -$W$3</f>
        <v>-6.9352490847627433</v>
      </c>
      <c r="Y17" s="47">
        <f t="shared" ref="Y17:Y38" si="18">B_1*Tb_eff/(SQRT(8)*I17)</f>
        <v>1.2168872004093829</v>
      </c>
      <c r="Z17" s="49">
        <f t="shared" ref="Z17:Z38" si="19">IF(ABS(Y17)&lt;10,SIGN(Y17)*ERF(ABS(Y17)),SIGN(Y17))</f>
        <v>0.91473799434898295</v>
      </c>
      <c r="AA17" s="395">
        <f>$AD17</f>
        <v>0.8294759886979659</v>
      </c>
      <c r="AB17" s="43">
        <f t="shared" ref="AB17:AB38" si="20">ERF(AE17)+ERF(AF17)-1</f>
        <v>0.78585242064498462</v>
      </c>
      <c r="AC17" s="47">
        <f t="shared" ref="AC17:AC38" si="21">ERF(AG17)+ERF(AH17)-1</f>
        <v>0.78585242064498462</v>
      </c>
      <c r="AD17" s="47">
        <f t="shared" ref="AD17:AD38" si="22">ERF(AI17)+ERF(AJ17)-1</f>
        <v>0.8294759886979659</v>
      </c>
      <c r="AE17" s="50">
        <f t="shared" ref="AE17:AE38" si="23">MAX(MIN(B_1*Tb_eff*($L$13+1)/(SQRT(8)*$I17),10),-10)</f>
        <v>1.4812572768756598</v>
      </c>
      <c r="AF17" s="50">
        <f t="shared" ref="AF17:AF38" si="24">MAX(MIN(B_1*Tb_eff*(1-$L$13)/(SQRT(8)*$I17),10),-10)</f>
        <v>0.95251712394310628</v>
      </c>
      <c r="AG17" s="50">
        <f t="shared" ref="AG17:AG38" si="25">MAX(MIN(B_1*Tb_eff*($L$13+$G$9+1)/(SQRT(8)*$I17),10),-10)</f>
        <v>1.4812572768756598</v>
      </c>
      <c r="AH17" s="50">
        <f t="shared" ref="AH17:AH38" si="26">MAX(MIN(B_1*Tb_eff*(1-$L$13-$G$9)/(SQRT(8)*$I17),10),-10)</f>
        <v>0.95251712394310628</v>
      </c>
      <c r="AI17" s="50">
        <f t="shared" ref="AI17:AI38" si="27">MAX(MIN(B_1*Tb_eff*($G$9+1)/(SQRT(8)*$I17),10),-10)</f>
        <v>1.2168872004093829</v>
      </c>
      <c r="AJ17" s="50">
        <f t="shared" ref="AJ17:AJ38" si="28">MAX(MIN(B_1*Tb_eff*(1-$G$9)/(SQRT(8)*$I17),10),-10)</f>
        <v>1.2168872004093829</v>
      </c>
      <c r="AK17" s="305"/>
      <c r="AL17" s="48">
        <f t="shared" ref="AL17:AL38" si="29">$L$6-$L$7</f>
        <v>5.17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3.5999999999999997E-2</v>
      </c>
      <c r="B18" s="52">
        <f t="shared" si="0"/>
        <v>0.13041342429262442</v>
      </c>
      <c r="C18" s="52">
        <f t="shared" si="1"/>
        <v>2.2604134242926244</v>
      </c>
      <c r="D18" s="180">
        <f t="shared" si="2"/>
        <v>-4.2393935860058303</v>
      </c>
      <c r="E18" s="52">
        <f t="shared" si="3"/>
        <v>8.0387999999999987E-4</v>
      </c>
      <c r="F18" s="53">
        <f t="shared" si="4"/>
        <v>152103.72935003156</v>
      </c>
      <c r="G18" s="53">
        <f t="shared" si="5"/>
        <v>11111.111111111111</v>
      </c>
      <c r="H18" s="54">
        <f t="shared" si="6"/>
        <v>68.549220289497015</v>
      </c>
      <c r="I18" s="54">
        <f t="shared" si="7"/>
        <v>79.305191034252914</v>
      </c>
      <c r="J18" s="425">
        <f t="shared" si="8"/>
        <v>1.538565338359251</v>
      </c>
      <c r="K18" s="252">
        <f t="shared" si="9"/>
        <v>0.25251327475003271</v>
      </c>
      <c r="L18" s="268">
        <f t="shared" si="10"/>
        <v>0</v>
      </c>
      <c r="M18" s="269">
        <f t="shared" si="11"/>
        <v>0</v>
      </c>
      <c r="N18" s="270">
        <f t="shared" ref="N18:N38" si="30">-10*LOG10(1-2*$L$10*10^(-$C18/10)*$AB$5*SQRT(2*ER*($AD18*(ER-1)+ER+1))/($AD18*(ER-1)))</f>
        <v>0</v>
      </c>
      <c r="O18" s="52">
        <f t="shared" si="12"/>
        <v>-4.3244145891156514E-2</v>
      </c>
      <c r="P18" s="52">
        <f t="shared" si="13"/>
        <v>3.9632812285449946E-4</v>
      </c>
      <c r="Q18" s="52">
        <f t="shared" si="14"/>
        <v>1.6890437051115682E-5</v>
      </c>
      <c r="R18" s="268">
        <f t="shared" ref="R18:R23" si="31">10*LOG10(1/SQRT(1-AK18*(Q/AA18)^2))</f>
        <v>0.12789076706259958</v>
      </c>
      <c r="S18" s="52">
        <f t="shared" ref="S18:S23" si="32">-10*LOG10(AA18*SQRT(1-Q*Q*((SD_blw^2+AK18)/AA18^2+Vmn+(P18*P18))))-$T$13-J18-L18-Q18-N18-R18-Pmn</f>
        <v>0.12227092385764121</v>
      </c>
      <c r="T18" s="282">
        <f t="shared" ref="T18:T38" si="33">J18+L18+B18+Q18+N18+R18+S18+Pmn</f>
        <v>2.2191573440091674</v>
      </c>
      <c r="U18" s="278">
        <f t="shared" ref="U18:U38" si="34">J18+K18+B18+Q18+N18+R18+S18+Pmn+M18</f>
        <v>2.4716706187592004</v>
      </c>
      <c r="V18" s="181">
        <f t="shared" si="15"/>
        <v>2.0887439197165429</v>
      </c>
      <c r="W18" s="182">
        <f t="shared" si="16"/>
        <v>2.9508426559908325</v>
      </c>
      <c r="X18" s="456">
        <f t="shared" si="17"/>
        <v>-7.2190703311966731</v>
      </c>
      <c r="Y18" s="59">
        <f t="shared" si="18"/>
        <v>1.0200138238342122</v>
      </c>
      <c r="Z18" s="60">
        <f t="shared" si="19"/>
        <v>0.85084352879056058</v>
      </c>
      <c r="AA18" s="300">
        <f t="shared" ref="AA18:AA38" si="35">$AD18*(1-2*$L$10*10^(-$C18/10)*$AB$5*SQRT(2*ER*($AD18*(ER-1)+ER+1))/($AD18*(ER-1)))</f>
        <v>0.70168705758112115</v>
      </c>
      <c r="AB18" s="56">
        <f t="shared" si="20"/>
        <v>0.66205205613438212</v>
      </c>
      <c r="AC18" s="55">
        <f t="shared" si="21"/>
        <v>0.66205205613438212</v>
      </c>
      <c r="AD18" s="55">
        <f t="shared" si="22"/>
        <v>0.70168705758112115</v>
      </c>
      <c r="AE18" s="61">
        <f t="shared" si="23"/>
        <v>1.2416129437140095</v>
      </c>
      <c r="AF18" s="61">
        <f t="shared" si="24"/>
        <v>0.79841470395441461</v>
      </c>
      <c r="AG18" s="61">
        <f t="shared" si="25"/>
        <v>1.2416129437140095</v>
      </c>
      <c r="AH18" s="61">
        <f t="shared" si="26"/>
        <v>0.79841470395441461</v>
      </c>
      <c r="AI18" s="61">
        <f t="shared" si="27"/>
        <v>1.0200138238342122</v>
      </c>
      <c r="AJ18" s="61">
        <f t="shared" si="28"/>
        <v>1.0200138238342122</v>
      </c>
      <c r="AK18" s="306">
        <f t="shared" ref="AK18:AK23" si="36">kRIN*10^6*$AK$7*$AK$7/(SQRT((1/F18)^2+(1/G18)^2+0.477*(1/$T$5)^2))*10^($G$4/10)</f>
        <v>5.6868319791951319E-4</v>
      </c>
      <c r="AL18" s="57">
        <f t="shared" si="29"/>
        <v>5.17</v>
      </c>
      <c r="AM18" s="190">
        <f t="shared" ref="AM18:AM38" si="37">$L$3</f>
        <v>6.6000000000000003E-2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3.9E-2</v>
      </c>
      <c r="B19" s="64">
        <f t="shared" si="0"/>
        <v>0.14128120965034316</v>
      </c>
      <c r="C19" s="64">
        <f t="shared" si="1"/>
        <v>2.271281209650343</v>
      </c>
      <c r="D19" s="183">
        <f t="shared" si="2"/>
        <v>-4.592676384839649</v>
      </c>
      <c r="E19" s="64">
        <f t="shared" si="3"/>
        <v>8.7086999999999993E-4</v>
      </c>
      <c r="F19" s="65">
        <f t="shared" si="4"/>
        <v>140403.44247695219</v>
      </c>
      <c r="G19" s="65">
        <f t="shared" si="5"/>
        <v>10256.410256410256</v>
      </c>
      <c r="H19" s="66">
        <f t="shared" si="6"/>
        <v>70.885291448008928</v>
      </c>
      <c r="I19" s="66">
        <f t="shared" si="7"/>
        <v>81.332910106244981</v>
      </c>
      <c r="J19" s="426">
        <f t="shared" si="8"/>
        <v>1.6692907839222439</v>
      </c>
      <c r="K19" s="253">
        <f t="shared" si="9"/>
        <v>0.25386343054943761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-4.684782471541956E-2</v>
      </c>
      <c r="P19" s="64">
        <f t="shared" si="13"/>
        <v>4.6505961436151525E-4</v>
      </c>
      <c r="Q19" s="64">
        <f t="shared" si="14"/>
        <v>2.3256748565989199E-5</v>
      </c>
      <c r="R19" s="271">
        <f t="shared" si="31"/>
        <v>0.12996252997753721</v>
      </c>
      <c r="S19" s="64">
        <f t="shared" si="32"/>
        <v>0.13412519551881613</v>
      </c>
      <c r="T19" s="344">
        <f t="shared" si="33"/>
        <v>2.3746829758175063</v>
      </c>
      <c r="U19" s="279">
        <f t="shared" si="34"/>
        <v>2.6285464063669441</v>
      </c>
      <c r="V19" s="168">
        <f t="shared" si="15"/>
        <v>2.2334017661671632</v>
      </c>
      <c r="W19" s="184">
        <f t="shared" si="16"/>
        <v>2.7953170241824936</v>
      </c>
      <c r="X19" s="457">
        <f t="shared" si="17"/>
        <v>-7.2379433816114309</v>
      </c>
      <c r="Y19" s="72">
        <f t="shared" si="18"/>
        <v>0.99458375522382592</v>
      </c>
      <c r="Z19" s="73">
        <f t="shared" si="19"/>
        <v>0.84044026973761654</v>
      </c>
      <c r="AA19" s="301">
        <f t="shared" si="35"/>
        <v>0.68088053947523308</v>
      </c>
      <c r="AB19" s="69">
        <f t="shared" si="20"/>
        <v>0.64222111251122982</v>
      </c>
      <c r="AC19" s="68">
        <f t="shared" si="21"/>
        <v>0.64222111251122982</v>
      </c>
      <c r="AD19" s="68">
        <f t="shared" si="22"/>
        <v>0.68088053947523308</v>
      </c>
      <c r="AE19" s="23">
        <f t="shared" si="23"/>
        <v>1.2106581648586567</v>
      </c>
      <c r="AF19" s="23">
        <f t="shared" si="24"/>
        <v>0.77850934558899509</v>
      </c>
      <c r="AG19" s="23">
        <f t="shared" si="25"/>
        <v>1.2106581648586567</v>
      </c>
      <c r="AH19" s="23">
        <f t="shared" si="26"/>
        <v>0.77850934558899509</v>
      </c>
      <c r="AI19" s="23">
        <f t="shared" si="27"/>
        <v>0.99458375522382592</v>
      </c>
      <c r="AJ19" s="23">
        <f t="shared" si="28"/>
        <v>0.99458375522382592</v>
      </c>
      <c r="AK19" s="295">
        <f t="shared" si="36"/>
        <v>5.4387506288115924E-4</v>
      </c>
      <c r="AL19" s="70">
        <f t="shared" si="29"/>
        <v>5.17</v>
      </c>
      <c r="AM19" s="191">
        <f t="shared" si="37"/>
        <v>6.6000000000000003E-2</v>
      </c>
      <c r="AN19" s="192">
        <f t="shared" ref="AN19:AN37" si="42">AN20</f>
        <v>8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4.2000000000000003E-2</v>
      </c>
      <c r="B20" s="64">
        <f t="shared" si="0"/>
        <v>0.15214899500806187</v>
      </c>
      <c r="C20" s="64">
        <f t="shared" si="1"/>
        <v>2.2821489950080616</v>
      </c>
      <c r="D20" s="183">
        <f t="shared" si="2"/>
        <v>-4.9459591836734687</v>
      </c>
      <c r="E20" s="64">
        <f t="shared" si="3"/>
        <v>9.3786E-4</v>
      </c>
      <c r="F20" s="65">
        <f t="shared" si="4"/>
        <v>130374.6251571699</v>
      </c>
      <c r="G20" s="65">
        <f t="shared" si="5"/>
        <v>9523.8095238095229</v>
      </c>
      <c r="H20" s="66">
        <f t="shared" si="6"/>
        <v>73.324701161000604</v>
      </c>
      <c r="I20" s="66">
        <f t="shared" si="7"/>
        <v>83.467535743134292</v>
      </c>
      <c r="J20" s="426">
        <f t="shared" si="8"/>
        <v>1.8112149564178202</v>
      </c>
      <c r="K20" s="253">
        <f t="shared" si="9"/>
        <v>0.25506451251374695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-5.0451503539682606E-2</v>
      </c>
      <c r="P20" s="64">
        <f t="shared" si="13"/>
        <v>5.3926456578321175E-4</v>
      </c>
      <c r="Q20" s="64">
        <f t="shared" si="14"/>
        <v>3.1270607151139427E-5</v>
      </c>
      <c r="R20" s="271">
        <f t="shared" si="31"/>
        <v>0.13284423170210649</v>
      </c>
      <c r="S20" s="64">
        <f t="shared" si="32"/>
        <v>0.14807016526490174</v>
      </c>
      <c r="T20" s="344">
        <f t="shared" si="33"/>
        <v>2.5443096190000416</v>
      </c>
      <c r="U20" s="279">
        <f t="shared" si="34"/>
        <v>2.7993741315137881</v>
      </c>
      <c r="V20" s="168">
        <f t="shared" si="15"/>
        <v>2.3921606239919799</v>
      </c>
      <c r="W20" s="184">
        <f t="shared" si="16"/>
        <v>2.6256903809999583</v>
      </c>
      <c r="X20" s="457">
        <f t="shared" si="17"/>
        <v>-7.2586733674253479</v>
      </c>
      <c r="Y20" s="72">
        <f t="shared" si="18"/>
        <v>0.96914794999689302</v>
      </c>
      <c r="Z20" s="73">
        <f t="shared" si="19"/>
        <v>0.82949475723345822</v>
      </c>
      <c r="AA20" s="301">
        <f t="shared" si="35"/>
        <v>0.65898951446691645</v>
      </c>
      <c r="AB20" s="69">
        <f t="shared" si="20"/>
        <v>0.6214011506543069</v>
      </c>
      <c r="AC20" s="68">
        <f t="shared" si="21"/>
        <v>0.6214011506543069</v>
      </c>
      <c r="AD20" s="68">
        <f t="shared" si="22"/>
        <v>0.65898951446691645</v>
      </c>
      <c r="AE20" s="23">
        <f t="shared" si="23"/>
        <v>1.1796964031005324</v>
      </c>
      <c r="AF20" s="23">
        <f t="shared" si="24"/>
        <v>0.75859949689325368</v>
      </c>
      <c r="AG20" s="23">
        <f t="shared" si="25"/>
        <v>1.1796964031005324</v>
      </c>
      <c r="AH20" s="23">
        <f t="shared" si="26"/>
        <v>0.75859949689325368</v>
      </c>
      <c r="AI20" s="23">
        <f t="shared" si="27"/>
        <v>0.96914794999689302</v>
      </c>
      <c r="AJ20" s="23">
        <f t="shared" si="28"/>
        <v>0.96914794999689302</v>
      </c>
      <c r="AK20" s="295">
        <f t="shared" si="36"/>
        <v>5.2041953737911499E-4</v>
      </c>
      <c r="AL20" s="70">
        <f t="shared" si="29"/>
        <v>5.17</v>
      </c>
      <c r="AM20" s="191">
        <f t="shared" si="37"/>
        <v>6.6000000000000003E-2</v>
      </c>
      <c r="AN20" s="192">
        <f t="shared" si="42"/>
        <v>8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4.5000000000000005E-2</v>
      </c>
      <c r="B21" s="64">
        <f t="shared" si="0"/>
        <v>0.16301678036578057</v>
      </c>
      <c r="C21" s="64">
        <f t="shared" si="1"/>
        <v>2.2930167803657806</v>
      </c>
      <c r="D21" s="183">
        <f t="shared" si="2"/>
        <v>-5.2992419825072883</v>
      </c>
      <c r="E21" s="64">
        <f t="shared" si="3"/>
        <v>1.0048500000000001E-3</v>
      </c>
      <c r="F21" s="65">
        <f t="shared" si="4"/>
        <v>121682.98348002521</v>
      </c>
      <c r="G21" s="65">
        <f t="shared" si="5"/>
        <v>8888.8888888888887</v>
      </c>
      <c r="H21" s="66">
        <f t="shared" si="6"/>
        <v>75.857480661702766</v>
      </c>
      <c r="I21" s="66">
        <f t="shared" si="7"/>
        <v>85.701079894141174</v>
      </c>
      <c r="J21" s="426">
        <f t="shared" si="8"/>
        <v>1.96435703507439</v>
      </c>
      <c r="K21" s="253">
        <f t="shared" si="9"/>
        <v>0.25614870721555882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-5.4055182363945652E-2</v>
      </c>
      <c r="P21" s="64">
        <f t="shared" si="13"/>
        <v>6.1893720434153031E-4</v>
      </c>
      <c r="Q21" s="64">
        <f t="shared" si="14"/>
        <v>4.1193312345384688E-5</v>
      </c>
      <c r="R21" s="271">
        <f t="shared" si="31"/>
        <v>0.13661637628670736</v>
      </c>
      <c r="S21" s="64">
        <f t="shared" si="32"/>
        <v>0.16445803969702066</v>
      </c>
      <c r="T21" s="344">
        <f t="shared" si="33"/>
        <v>2.7284894247362432</v>
      </c>
      <c r="U21" s="279">
        <f t="shared" si="34"/>
        <v>2.9846381319518023</v>
      </c>
      <c r="V21" s="168">
        <f t="shared" si="15"/>
        <v>2.5654726443704625</v>
      </c>
      <c r="W21" s="184">
        <f t="shared" si="16"/>
        <v>2.4415105752637567</v>
      </c>
      <c r="X21" s="457">
        <f t="shared" si="17"/>
        <v>-7.2815171572889206</v>
      </c>
      <c r="Y21" s="72">
        <f t="shared" si="18"/>
        <v>0.94388998664509338</v>
      </c>
      <c r="Z21" s="73">
        <f t="shared" si="19"/>
        <v>0.81807848986342468</v>
      </c>
      <c r="AA21" s="301">
        <f t="shared" si="35"/>
        <v>0.63615697972684937</v>
      </c>
      <c r="AB21" s="69">
        <f t="shared" si="20"/>
        <v>0.59972123377223041</v>
      </c>
      <c r="AC21" s="68">
        <f t="shared" si="21"/>
        <v>0.59972123377223041</v>
      </c>
      <c r="AD21" s="68">
        <f t="shared" si="22"/>
        <v>0.63615697972684937</v>
      </c>
      <c r="AE21" s="23">
        <f t="shared" si="23"/>
        <v>1.1489511195596049</v>
      </c>
      <c r="AF21" s="23">
        <f t="shared" si="24"/>
        <v>0.73882885373058194</v>
      </c>
      <c r="AG21" s="23">
        <f t="shared" si="25"/>
        <v>1.1489511195596049</v>
      </c>
      <c r="AH21" s="23">
        <f t="shared" si="26"/>
        <v>0.73882885373058194</v>
      </c>
      <c r="AI21" s="23">
        <f t="shared" si="27"/>
        <v>0.94388998664509338</v>
      </c>
      <c r="AJ21" s="23">
        <f t="shared" si="28"/>
        <v>0.94388998664509338</v>
      </c>
      <c r="AK21" s="295">
        <f t="shared" si="36"/>
        <v>4.9832413638987636E-4</v>
      </c>
      <c r="AL21" s="70">
        <f t="shared" si="29"/>
        <v>5.17</v>
      </c>
      <c r="AM21" s="191">
        <f t="shared" si="37"/>
        <v>6.6000000000000003E-2</v>
      </c>
      <c r="AN21" s="192">
        <f t="shared" si="42"/>
        <v>8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4.8000000000000008E-2</v>
      </c>
      <c r="B22" s="64">
        <f t="shared" si="0"/>
        <v>0.17388456572349931</v>
      </c>
      <c r="C22" s="64">
        <f t="shared" si="1"/>
        <v>2.3038845657234992</v>
      </c>
      <c r="D22" s="183">
        <f t="shared" si="2"/>
        <v>-5.6525247813411079</v>
      </c>
      <c r="E22" s="64">
        <f t="shared" si="3"/>
        <v>1.0718400000000001E-3</v>
      </c>
      <c r="F22" s="65">
        <f t="shared" si="4"/>
        <v>114077.79701252363</v>
      </c>
      <c r="G22" s="65">
        <f t="shared" si="5"/>
        <v>8333.3333333333321</v>
      </c>
      <c r="H22" s="66">
        <f t="shared" si="6"/>
        <v>78.474589897882694</v>
      </c>
      <c r="I22" s="66">
        <f t="shared" si="7"/>
        <v>88.026013100232092</v>
      </c>
      <c r="J22" s="426">
        <f t="shared" si="8"/>
        <v>2.1287421387317842</v>
      </c>
      <c r="K22" s="253">
        <f t="shared" si="9"/>
        <v>0.25716061045757543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-5.7658861188208697E-2</v>
      </c>
      <c r="P22" s="64">
        <f t="shared" si="13"/>
        <v>7.0407133340422015E-4</v>
      </c>
      <c r="Q22" s="64">
        <f t="shared" si="14"/>
        <v>5.3305015322700525E-5</v>
      </c>
      <c r="R22" s="271">
        <f t="shared" si="31"/>
        <v>0.14137342393759053</v>
      </c>
      <c r="S22" s="64">
        <f t="shared" si="32"/>
        <v>0.18372603114940372</v>
      </c>
      <c r="T22" s="344">
        <f t="shared" si="33"/>
        <v>2.9277794645576001</v>
      </c>
      <c r="U22" s="279">
        <f t="shared" si="34"/>
        <v>3.1849400750151755</v>
      </c>
      <c r="V22" s="168">
        <f t="shared" si="15"/>
        <v>2.7538948988341008</v>
      </c>
      <c r="W22" s="184">
        <f t="shared" si="16"/>
        <v>2.2422205354423999</v>
      </c>
      <c r="X22" s="457">
        <f t="shared" si="17"/>
        <v>-7.3067880977266908</v>
      </c>
      <c r="Y22" s="72">
        <f t="shared" si="18"/>
        <v>0.91896006995843038</v>
      </c>
      <c r="Z22" s="73">
        <f t="shared" si="19"/>
        <v>0.8062638872260206</v>
      </c>
      <c r="AA22" s="301">
        <f t="shared" si="35"/>
        <v>0.61252777445204121</v>
      </c>
      <c r="AB22" s="69">
        <f t="shared" si="20"/>
        <v>0.57731085712546015</v>
      </c>
      <c r="AC22" s="68">
        <f t="shared" si="21"/>
        <v>0.57731085712546015</v>
      </c>
      <c r="AD22" s="68">
        <f t="shared" si="22"/>
        <v>0.61252777445204121</v>
      </c>
      <c r="AE22" s="23">
        <f t="shared" si="23"/>
        <v>1.1186051511809414</v>
      </c>
      <c r="AF22" s="23">
        <f t="shared" si="24"/>
        <v>0.71931498873591937</v>
      </c>
      <c r="AG22" s="23">
        <f t="shared" si="25"/>
        <v>1.1186051511809414</v>
      </c>
      <c r="AH22" s="23">
        <f t="shared" si="26"/>
        <v>0.71931498873591937</v>
      </c>
      <c r="AI22" s="23">
        <f t="shared" si="27"/>
        <v>0.91896006995843038</v>
      </c>
      <c r="AJ22" s="23">
        <f t="shared" si="28"/>
        <v>0.91896006995843038</v>
      </c>
      <c r="AK22" s="295">
        <f t="shared" si="36"/>
        <v>4.7756147690498679E-4</v>
      </c>
      <c r="AL22" s="70">
        <f t="shared" si="29"/>
        <v>5.17</v>
      </c>
      <c r="AM22" s="191">
        <f t="shared" si="37"/>
        <v>6.6000000000000003E-2</v>
      </c>
      <c r="AN22" s="192">
        <f t="shared" si="42"/>
        <v>8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5.1000000000000011E-2</v>
      </c>
      <c r="B23" s="52">
        <f t="shared" si="0"/>
        <v>0.18475235108121801</v>
      </c>
      <c r="C23" s="52">
        <f t="shared" si="1"/>
        <v>2.3147523510812178</v>
      </c>
      <c r="D23" s="180">
        <f t="shared" si="2"/>
        <v>-6.0058075801749276</v>
      </c>
      <c r="E23" s="52">
        <f t="shared" si="3"/>
        <v>1.1388300000000002E-3</v>
      </c>
      <c r="F23" s="53">
        <f t="shared" si="4"/>
        <v>107367.33836472813</v>
      </c>
      <c r="G23" s="53">
        <f t="shared" si="5"/>
        <v>7843.1372549019588</v>
      </c>
      <c r="H23" s="54">
        <f t="shared" si="6"/>
        <v>81.167872106214702</v>
      </c>
      <c r="I23" s="54">
        <f t="shared" si="7"/>
        <v>90.435287277324363</v>
      </c>
      <c r="J23" s="425">
        <f t="shared" si="8"/>
        <v>2.3044154868916853</v>
      </c>
      <c r="K23" s="252">
        <f t="shared" si="9"/>
        <v>0.25815498438382667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-6.1262540012471743E-2</v>
      </c>
      <c r="P23" s="52">
        <f t="shared" si="13"/>
        <v>7.9466033328820019E-4</v>
      </c>
      <c r="Q23" s="52">
        <f t="shared" si="14"/>
        <v>6.7904612974758617E-5</v>
      </c>
      <c r="R23" s="268">
        <f t="shared" si="31"/>
        <v>0.14722960833484577</v>
      </c>
      <c r="S23" s="52">
        <f t="shared" si="32"/>
        <v>0.20642316647105469</v>
      </c>
      <c r="T23" s="282">
        <f t="shared" si="33"/>
        <v>3.1428885173917784</v>
      </c>
      <c r="U23" s="278">
        <f t="shared" si="34"/>
        <v>3.4010435017756051</v>
      </c>
      <c r="V23" s="181">
        <f t="shared" si="15"/>
        <v>2.9581361663105605</v>
      </c>
      <c r="W23" s="182">
        <f t="shared" si="16"/>
        <v>2.0271114826082215</v>
      </c>
      <c r="X23" s="456">
        <f t="shared" si="17"/>
        <v>-7.3348752347401431</v>
      </c>
      <c r="Y23" s="59">
        <f t="shared" si="18"/>
        <v>0.89447817983582456</v>
      </c>
      <c r="Z23" s="60">
        <f t="shared" si="19"/>
        <v>0.7941226401141549</v>
      </c>
      <c r="AA23" s="300">
        <f t="shared" si="35"/>
        <v>0.5882452802283098</v>
      </c>
      <c r="AB23" s="56">
        <f t="shared" si="20"/>
        <v>0.55429754216486549</v>
      </c>
      <c r="AC23" s="55">
        <f t="shared" si="21"/>
        <v>0.55429754216486549</v>
      </c>
      <c r="AD23" s="55">
        <f t="shared" si="22"/>
        <v>0.5882452802283098</v>
      </c>
      <c r="AE23" s="61">
        <f t="shared" si="23"/>
        <v>1.08880454362785</v>
      </c>
      <c r="AF23" s="61">
        <f t="shared" si="24"/>
        <v>0.70015181604379917</v>
      </c>
      <c r="AG23" s="61">
        <f t="shared" si="25"/>
        <v>1.08880454362785</v>
      </c>
      <c r="AH23" s="61">
        <f t="shared" si="26"/>
        <v>0.70015181604379917</v>
      </c>
      <c r="AI23" s="61">
        <f t="shared" si="27"/>
        <v>0.89447817983582456</v>
      </c>
      <c r="AJ23" s="61">
        <f t="shared" si="28"/>
        <v>0.89447817983582456</v>
      </c>
      <c r="AK23" s="306">
        <f t="shared" si="36"/>
        <v>4.5808161786984729E-4</v>
      </c>
      <c r="AL23" s="57">
        <f t="shared" si="29"/>
        <v>5.17</v>
      </c>
      <c r="AM23" s="190">
        <f t="shared" si="37"/>
        <v>6.6000000000000003E-2</v>
      </c>
      <c r="AN23" s="193">
        <f t="shared" si="42"/>
        <v>8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5.4000000000000013E-2</v>
      </c>
      <c r="B24" s="64">
        <f t="shared" si="0"/>
        <v>0.19562013643893672</v>
      </c>
      <c r="C24" s="64">
        <f t="shared" si="1"/>
        <v>2.3256201364389364</v>
      </c>
      <c r="D24" s="183">
        <f t="shared" si="2"/>
        <v>-6.3590903790087472</v>
      </c>
      <c r="E24" s="64">
        <f t="shared" si="3"/>
        <v>1.2058200000000002E-3</v>
      </c>
      <c r="F24" s="65">
        <f t="shared" si="4"/>
        <v>101402.48623335433</v>
      </c>
      <c r="G24" s="65">
        <f t="shared" si="5"/>
        <v>7407.407407407406</v>
      </c>
      <c r="H24" s="66">
        <f t="shared" si="6"/>
        <v>83.929994520257651</v>
      </c>
      <c r="I24" s="66">
        <f t="shared" si="7"/>
        <v>92.922342323317693</v>
      </c>
      <c r="J24" s="426">
        <f t="shared" si="8"/>
        <v>2.4914573024981088</v>
      </c>
      <c r="K24" s="253">
        <f t="shared" si="9"/>
        <v>0.25919488680048985</v>
      </c>
      <c r="L24" s="271">
        <f t="shared" si="10"/>
        <v>0</v>
      </c>
      <c r="M24" s="272">
        <f t="shared" si="11"/>
        <v>0</v>
      </c>
      <c r="N24" s="256">
        <f t="shared" si="30"/>
        <v>0</v>
      </c>
      <c r="O24" s="64">
        <f t="shared" si="12"/>
        <v>-6.4866218836734796E-2</v>
      </c>
      <c r="P24" s="64">
        <f t="shared" si="13"/>
        <v>8.9069716211730003E-4</v>
      </c>
      <c r="Q24" s="64">
        <f t="shared" si="14"/>
        <v>8.5309635393680927E-5</v>
      </c>
      <c r="R24" s="271">
        <f t="shared" ref="R24:R37" si="44">10*LOG10(1/SQRT(1-AK24*(Q/AA24)^2))</f>
        <v>0.15432562896050425</v>
      </c>
      <c r="S24" s="64">
        <f t="shared" ref="S24:S37" si="45">-10*LOG10(AA24*SQRT(1-Q*Q*((SD_blw^2+AK24)/AA24^2+Vmn+(P24*P24))))-$T$13-J24-L24-Q24-N24-R24-Pmn</f>
        <v>0.23324739826607138</v>
      </c>
      <c r="T24" s="344">
        <f t="shared" si="33"/>
        <v>3.3747357757990142</v>
      </c>
      <c r="U24" s="279">
        <f t="shared" si="34"/>
        <v>3.633930662599504</v>
      </c>
      <c r="V24" s="168">
        <f t="shared" si="15"/>
        <v>3.1791156393600772</v>
      </c>
      <c r="W24" s="184">
        <f t="shared" si="16"/>
        <v>1.7952642242009857</v>
      </c>
      <c r="X24" s="457">
        <f t="shared" si="17"/>
        <v>-7.3662685616434471</v>
      </c>
      <c r="Y24" s="72">
        <f t="shared" si="18"/>
        <v>0.87053758153545879</v>
      </c>
      <c r="Z24" s="73">
        <f t="shared" si="19"/>
        <v>0.78172427769393138</v>
      </c>
      <c r="AA24" s="301">
        <f t="shared" si="35"/>
        <v>0.56344855538786276</v>
      </c>
      <c r="AB24" s="69">
        <f t="shared" si="20"/>
        <v>0.53080472616606666</v>
      </c>
      <c r="AC24" s="68">
        <f t="shared" si="21"/>
        <v>0.53080472616606666</v>
      </c>
      <c r="AD24" s="68">
        <f t="shared" si="22"/>
        <v>0.56344855538786276</v>
      </c>
      <c r="AE24" s="23">
        <f t="shared" si="23"/>
        <v>1.0596628241379549</v>
      </c>
      <c r="AF24" s="23">
        <f t="shared" si="24"/>
        <v>0.68141233893296271</v>
      </c>
      <c r="AG24" s="23">
        <f t="shared" si="25"/>
        <v>1.0596628241379549</v>
      </c>
      <c r="AH24" s="23">
        <f t="shared" si="26"/>
        <v>0.68141233893296271</v>
      </c>
      <c r="AI24" s="23">
        <f t="shared" si="27"/>
        <v>0.87053758153545879</v>
      </c>
      <c r="AJ24" s="23">
        <f t="shared" si="28"/>
        <v>0.87053758153545879</v>
      </c>
      <c r="AK24" s="295">
        <f t="shared" ref="AK24:AK38" si="46">kRIN*10^6*$AK$7*$AK$7/(SQRT((1/F24)^2+(1/G24)^2+0.477*(1/$T$5)^2))*10^($G$4/10)</f>
        <v>4.3982104846810064E-4</v>
      </c>
      <c r="AL24" s="70">
        <f t="shared" si="29"/>
        <v>5.17</v>
      </c>
      <c r="AM24" s="191">
        <f t="shared" si="37"/>
        <v>6.6000000000000003E-2</v>
      </c>
      <c r="AN24" s="192">
        <f t="shared" si="42"/>
        <v>8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5.7000000000000016E-2</v>
      </c>
      <c r="B25" s="64">
        <f t="shared" si="0"/>
        <v>0.20648792179665543</v>
      </c>
      <c r="C25" s="64">
        <f t="shared" si="1"/>
        <v>2.3364879217966554</v>
      </c>
      <c r="D25" s="183">
        <f t="shared" si="2"/>
        <v>-6.7123731778425668</v>
      </c>
      <c r="E25" s="64">
        <f t="shared" si="3"/>
        <v>1.2728100000000003E-3</v>
      </c>
      <c r="F25" s="65">
        <f t="shared" si="4"/>
        <v>96065.513273704099</v>
      </c>
      <c r="G25" s="65">
        <f t="shared" si="5"/>
        <v>7017.5438596491213</v>
      </c>
      <c r="H25" s="66">
        <f t="shared" si="6"/>
        <v>86.754382099118345</v>
      </c>
      <c r="I25" s="66">
        <f t="shared" si="7"/>
        <v>95.481100413019874</v>
      </c>
      <c r="J25" s="426">
        <f t="shared" si="8"/>
        <v>2.6899982696464617</v>
      </c>
      <c r="K25" s="253">
        <f t="shared" si="9"/>
        <v>0.26035034036120086</v>
      </c>
      <c r="L25" s="271">
        <f t="shared" si="10"/>
        <v>0</v>
      </c>
      <c r="M25" s="272">
        <f t="shared" si="11"/>
        <v>0</v>
      </c>
      <c r="N25" s="256">
        <f t="shared" si="30"/>
        <v>0</v>
      </c>
      <c r="O25" s="64">
        <f t="shared" si="12"/>
        <v>-6.8469897660997842E-2</v>
      </c>
      <c r="P25" s="64">
        <f t="shared" si="13"/>
        <v>9.9217435673466478E-4</v>
      </c>
      <c r="Q25" s="64">
        <f t="shared" si="14"/>
        <v>1.0585612689654095E-4</v>
      </c>
      <c r="R25" s="271">
        <f t="shared" si="44"/>
        <v>0.16283679965160508</v>
      </c>
      <c r="S25" s="64">
        <f t="shared" si="45"/>
        <v>0.2650981084479494</v>
      </c>
      <c r="T25" s="344">
        <f t="shared" si="33"/>
        <v>3.6245269556695678</v>
      </c>
      <c r="U25" s="279">
        <f t="shared" si="34"/>
        <v>3.8848772960307687</v>
      </c>
      <c r="V25" s="168">
        <f t="shared" si="15"/>
        <v>3.4180390338729123</v>
      </c>
      <c r="W25" s="184">
        <f t="shared" si="16"/>
        <v>1.5454730443304321</v>
      </c>
      <c r="X25" s="457">
        <f t="shared" si="17"/>
        <v>-7.4015934192747093</v>
      </c>
      <c r="Y25" s="72">
        <f t="shared" si="18"/>
        <v>0.84720840885617243</v>
      </c>
      <c r="Z25" s="73">
        <f t="shared" si="19"/>
        <v>0.76913499848921052</v>
      </c>
      <c r="AA25" s="301">
        <f t="shared" si="35"/>
        <v>0.53826999697842104</v>
      </c>
      <c r="AB25" s="69">
        <f t="shared" si="20"/>
        <v>0.50695001355057778</v>
      </c>
      <c r="AC25" s="68">
        <f t="shared" si="21"/>
        <v>0.50695001355057778</v>
      </c>
      <c r="AD25" s="68">
        <f t="shared" si="22"/>
        <v>0.53826999697842104</v>
      </c>
      <c r="AE25" s="23">
        <f t="shared" si="23"/>
        <v>1.031265363154672</v>
      </c>
      <c r="AF25" s="23">
        <f t="shared" si="24"/>
        <v>0.66315145455767277</v>
      </c>
      <c r="AG25" s="23">
        <f t="shared" si="25"/>
        <v>1.031265363154672</v>
      </c>
      <c r="AH25" s="23">
        <f t="shared" si="26"/>
        <v>0.66315145455767277</v>
      </c>
      <c r="AI25" s="23">
        <f t="shared" si="27"/>
        <v>0.84720840885617243</v>
      </c>
      <c r="AJ25" s="23">
        <f t="shared" si="28"/>
        <v>0.84720840885617243</v>
      </c>
      <c r="AK25" s="295">
        <f t="shared" si="46"/>
        <v>4.2270906382295268E-4</v>
      </c>
      <c r="AL25" s="70">
        <f t="shared" si="29"/>
        <v>5.17</v>
      </c>
      <c r="AM25" s="191">
        <f t="shared" si="37"/>
        <v>6.6000000000000003E-2</v>
      </c>
      <c r="AN25" s="192">
        <f t="shared" si="42"/>
        <v>8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6.0000000000000019E-2</v>
      </c>
      <c r="B26" s="64">
        <f t="shared" si="0"/>
        <v>0.21735570715437416</v>
      </c>
      <c r="C26" s="64">
        <f t="shared" si="1"/>
        <v>2.347355707154374</v>
      </c>
      <c r="D26" s="183">
        <f t="shared" si="2"/>
        <v>-7.0656559766763856</v>
      </c>
      <c r="E26" s="64">
        <f t="shared" si="3"/>
        <v>1.3398000000000004E-3</v>
      </c>
      <c r="F26" s="65">
        <f t="shared" si="4"/>
        <v>91262.237610018914</v>
      </c>
      <c r="G26" s="65">
        <f t="shared" si="5"/>
        <v>6666.6666666666642</v>
      </c>
      <c r="H26" s="66">
        <f t="shared" si="6"/>
        <v>89.635149143284536</v>
      </c>
      <c r="I26" s="66">
        <f t="shared" si="7"/>
        <v>98.105951321111107</v>
      </c>
      <c r="J26" s="426">
        <f t="shared" si="8"/>
        <v>2.9002356048312516</v>
      </c>
      <c r="K26" s="253">
        <f t="shared" si="9"/>
        <v>0.26169764943302587</v>
      </c>
      <c r="L26" s="271">
        <f t="shared" si="10"/>
        <v>0</v>
      </c>
      <c r="M26" s="272">
        <f t="shared" si="11"/>
        <v>0</v>
      </c>
      <c r="N26" s="256">
        <f t="shared" si="30"/>
        <v>0</v>
      </c>
      <c r="O26" s="64">
        <f t="shared" si="12"/>
        <v>-7.2073576485260873E-2</v>
      </c>
      <c r="P26" s="64">
        <f t="shared" si="13"/>
        <v>1.0990840336693268E-3</v>
      </c>
      <c r="Q26" s="64">
        <f t="shared" si="14"/>
        <v>1.2989852071740136E-4</v>
      </c>
      <c r="R26" s="271">
        <f t="shared" si="44"/>
        <v>0.17298343137613356</v>
      </c>
      <c r="S26" s="64">
        <f t="shared" si="45"/>
        <v>0.3031521654392651</v>
      </c>
      <c r="T26" s="344">
        <f t="shared" si="33"/>
        <v>3.8938568073217414</v>
      </c>
      <c r="U26" s="279">
        <f t="shared" si="34"/>
        <v>4.1555544567547678</v>
      </c>
      <c r="V26" s="168">
        <f t="shared" si="15"/>
        <v>3.6765011001673673</v>
      </c>
      <c r="W26" s="184">
        <f t="shared" si="16"/>
        <v>1.2761431926782585</v>
      </c>
      <c r="X26" s="457">
        <f t="shared" si="17"/>
        <v>-7.4416589072464339</v>
      </c>
      <c r="Y26" s="72">
        <f t="shared" si="18"/>
        <v>0.82454112179170136</v>
      </c>
      <c r="Z26" s="73">
        <f t="shared" si="19"/>
        <v>0.75641678100356313</v>
      </c>
      <c r="AA26" s="301">
        <f t="shared" si="35"/>
        <v>0.51283356200712626</v>
      </c>
      <c r="AB26" s="69">
        <f t="shared" si="20"/>
        <v>0.48284381711544899</v>
      </c>
      <c r="AC26" s="68">
        <f t="shared" si="21"/>
        <v>0.48284381711544899</v>
      </c>
      <c r="AD26" s="68">
        <f t="shared" si="22"/>
        <v>0.51283356200712626</v>
      </c>
      <c r="AE26" s="23">
        <f t="shared" si="23"/>
        <v>1.0036735831606169</v>
      </c>
      <c r="AF26" s="23">
        <f t="shared" si="24"/>
        <v>0.64540866042278566</v>
      </c>
      <c r="AG26" s="23">
        <f t="shared" si="25"/>
        <v>1.0036735831606169</v>
      </c>
      <c r="AH26" s="23">
        <f t="shared" si="26"/>
        <v>0.64540866042278566</v>
      </c>
      <c r="AI26" s="23">
        <f t="shared" si="27"/>
        <v>0.82454112179170136</v>
      </c>
      <c r="AJ26" s="23">
        <f t="shared" si="28"/>
        <v>0.82454112179170136</v>
      </c>
      <c r="AK26" s="295">
        <f t="shared" si="46"/>
        <v>4.0667217140544513E-4</v>
      </c>
      <c r="AL26" s="70">
        <f t="shared" si="29"/>
        <v>5.17</v>
      </c>
      <c r="AM26" s="191">
        <f t="shared" si="37"/>
        <v>6.6000000000000003E-2</v>
      </c>
      <c r="AN26" s="192">
        <f t="shared" si="42"/>
        <v>8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6.3000000000000014E-2</v>
      </c>
      <c r="B27" s="64">
        <f t="shared" si="0"/>
        <v>0.22822349251209284</v>
      </c>
      <c r="C27" s="64">
        <f t="shared" si="1"/>
        <v>2.3582234925120926</v>
      </c>
      <c r="D27" s="183">
        <f t="shared" si="2"/>
        <v>-7.4189387755102043</v>
      </c>
      <c r="E27" s="64">
        <f t="shared" si="3"/>
        <v>1.4067900000000002E-3</v>
      </c>
      <c r="F27" s="65">
        <f t="shared" si="4"/>
        <v>86916.416771446588</v>
      </c>
      <c r="G27" s="65">
        <f t="shared" si="5"/>
        <v>6349.206349206348</v>
      </c>
      <c r="H27" s="66">
        <f t="shared" si="6"/>
        <v>92.567032067510922</v>
      </c>
      <c r="I27" s="66">
        <f t="shared" si="7"/>
        <v>100.79173154812331</v>
      </c>
      <c r="J27" s="426">
        <f t="shared" si="8"/>
        <v>3.1224500449569659</v>
      </c>
      <c r="K27" s="253">
        <f t="shared" si="9"/>
        <v>0.26331943700728155</v>
      </c>
      <c r="L27" s="271">
        <f t="shared" si="10"/>
        <v>0</v>
      </c>
      <c r="M27" s="272">
        <f t="shared" si="11"/>
        <v>0</v>
      </c>
      <c r="N27" s="256">
        <f t="shared" si="30"/>
        <v>0</v>
      </c>
      <c r="O27" s="64">
        <f t="shared" si="12"/>
        <v>-7.5677255309523933E-2</v>
      </c>
      <c r="P27" s="64">
        <f t="shared" si="13"/>
        <v>1.2114178901569475E-3</v>
      </c>
      <c r="Q27" s="64">
        <f t="shared" si="14"/>
        <v>1.5780950753874843E-4</v>
      </c>
      <c r="R27" s="271">
        <f t="shared" si="44"/>
        <v>0.18504452990549375</v>
      </c>
      <c r="S27" s="64">
        <f t="shared" si="45"/>
        <v>0.34897705032260312</v>
      </c>
      <c r="T27" s="344">
        <f t="shared" si="33"/>
        <v>4.1848529272046946</v>
      </c>
      <c r="U27" s="279">
        <f t="shared" si="34"/>
        <v>4.4481723642119757</v>
      </c>
      <c r="V27" s="168">
        <f t="shared" si="15"/>
        <v>3.9566294346926019</v>
      </c>
      <c r="W27" s="184">
        <f t="shared" si="16"/>
        <v>0.98514707279530533</v>
      </c>
      <c r="X27" s="457">
        <f t="shared" si="17"/>
        <v>-7.4875281445620043</v>
      </c>
      <c r="Y27" s="72">
        <f t="shared" si="18"/>
        <v>0.80256971394651244</v>
      </c>
      <c r="Z27" s="73">
        <f t="shared" si="19"/>
        <v>0.74362676577136311</v>
      </c>
      <c r="AA27" s="301">
        <f t="shared" si="35"/>
        <v>0.48725353154272621</v>
      </c>
      <c r="AB27" s="69">
        <f t="shared" si="20"/>
        <v>0.45858838601485097</v>
      </c>
      <c r="AC27" s="68">
        <f t="shared" si="21"/>
        <v>0.45858838601485097</v>
      </c>
      <c r="AD27" s="68">
        <f t="shared" si="22"/>
        <v>0.48725353154272621</v>
      </c>
      <c r="AE27" s="23">
        <f t="shared" si="23"/>
        <v>0.97692886290804126</v>
      </c>
      <c r="AF27" s="23">
        <f t="shared" si="24"/>
        <v>0.62821056498498362</v>
      </c>
      <c r="AG27" s="23">
        <f t="shared" si="25"/>
        <v>0.97692886290804126</v>
      </c>
      <c r="AH27" s="23">
        <f t="shared" si="26"/>
        <v>0.62821056498498362</v>
      </c>
      <c r="AI27" s="23">
        <f t="shared" si="27"/>
        <v>0.80256971394651244</v>
      </c>
      <c r="AJ27" s="23">
        <f t="shared" si="28"/>
        <v>0.80256971394651244</v>
      </c>
      <c r="AK27" s="295">
        <f t="shared" si="46"/>
        <v>3.9163704979277409E-4</v>
      </c>
      <c r="AL27" s="70">
        <f t="shared" si="29"/>
        <v>5.17</v>
      </c>
      <c r="AM27" s="191">
        <f t="shared" si="37"/>
        <v>6.6000000000000003E-2</v>
      </c>
      <c r="AN27" s="192">
        <f t="shared" si="42"/>
        <v>8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6.6000000000000017E-2</v>
      </c>
      <c r="B28" s="52">
        <f t="shared" si="0"/>
        <v>0.23909127786981155</v>
      </c>
      <c r="C28" s="52">
        <f t="shared" si="1"/>
        <v>2.3690912778698117</v>
      </c>
      <c r="D28" s="180">
        <f t="shared" si="2"/>
        <v>-7.7722215743440239</v>
      </c>
      <c r="E28" s="52">
        <f t="shared" si="3"/>
        <v>1.4737800000000003E-3</v>
      </c>
      <c r="F28" s="53">
        <f t="shared" si="4"/>
        <v>82965.670554562632</v>
      </c>
      <c r="G28" s="53">
        <f t="shared" si="5"/>
        <v>6060.6060606060591</v>
      </c>
      <c r="H28" s="54">
        <f t="shared" si="6"/>
        <v>95.545325395573499</v>
      </c>
      <c r="I28" s="54">
        <f t="shared" si="7"/>
        <v>103.53369947812828</v>
      </c>
      <c r="J28" s="425">
        <f t="shared" si="8"/>
        <v>3.3570243036453018</v>
      </c>
      <c r="K28" s="252">
        <f t="shared" si="9"/>
        <v>0.26530546563028956</v>
      </c>
      <c r="L28" s="268">
        <f t="shared" si="10"/>
        <v>0</v>
      </c>
      <c r="M28" s="269">
        <f t="shared" si="11"/>
        <v>0</v>
      </c>
      <c r="N28" s="270">
        <f t="shared" si="30"/>
        <v>0</v>
      </c>
      <c r="O28" s="52">
        <f t="shared" si="12"/>
        <v>-7.9280934133786965E-2</v>
      </c>
      <c r="P28" s="52">
        <f t="shared" si="13"/>
        <v>1.329167205214442E-3</v>
      </c>
      <c r="Q28" s="52">
        <f t="shared" si="14"/>
        <v>1.8997989800031935E-4</v>
      </c>
      <c r="R28" s="268">
        <f t="shared" si="44"/>
        <v>0.19937636743261405</v>
      </c>
      <c r="S28" s="52">
        <f t="shared" si="45"/>
        <v>0.40470428367869477</v>
      </c>
      <c r="T28" s="282">
        <f t="shared" si="33"/>
        <v>4.5003862125244227</v>
      </c>
      <c r="U28" s="278">
        <f t="shared" si="34"/>
        <v>4.7656916781547114</v>
      </c>
      <c r="V28" s="181">
        <f t="shared" si="15"/>
        <v>4.261294934654611</v>
      </c>
      <c r="W28" s="182">
        <f t="shared" si="16"/>
        <v>0.6696137874755772</v>
      </c>
      <c r="X28" s="456">
        <f t="shared" si="17"/>
        <v>-7.5406235545153502</v>
      </c>
      <c r="Y28" s="59">
        <f t="shared" si="18"/>
        <v>0.78131460156931509</v>
      </c>
      <c r="Z28" s="60">
        <f t="shared" si="19"/>
        <v>0.73081688408737555</v>
      </c>
      <c r="AA28" s="300">
        <f t="shared" si="35"/>
        <v>0.4616337681747511</v>
      </c>
      <c r="AB28" s="56">
        <f t="shared" si="20"/>
        <v>0.43427719401925291</v>
      </c>
      <c r="AC28" s="55">
        <f t="shared" si="21"/>
        <v>0.43427719401925291</v>
      </c>
      <c r="AD28" s="55">
        <f t="shared" si="22"/>
        <v>0.4616337681747511</v>
      </c>
      <c r="AE28" s="61">
        <f t="shared" si="23"/>
        <v>0.95105605409803673</v>
      </c>
      <c r="AF28" s="61">
        <f t="shared" si="24"/>
        <v>0.61157314904059334</v>
      </c>
      <c r="AG28" s="61">
        <f t="shared" si="25"/>
        <v>0.95105605409803673</v>
      </c>
      <c r="AH28" s="61">
        <f t="shared" si="26"/>
        <v>0.61157314904059334</v>
      </c>
      <c r="AI28" s="61">
        <f t="shared" si="27"/>
        <v>0.78131460156931509</v>
      </c>
      <c r="AJ28" s="61">
        <f t="shared" si="28"/>
        <v>0.78131460156931509</v>
      </c>
      <c r="AK28" s="306">
        <f t="shared" si="46"/>
        <v>3.7753246441903071E-4</v>
      </c>
      <c r="AL28" s="57">
        <f t="shared" si="29"/>
        <v>5.17</v>
      </c>
      <c r="AM28" s="190">
        <f t="shared" si="37"/>
        <v>6.6000000000000003E-2</v>
      </c>
      <c r="AN28" s="193">
        <f t="shared" si="42"/>
        <v>8</v>
      </c>
      <c r="AO28" s="58">
        <f t="shared" si="38"/>
        <v>0.6696137874755772</v>
      </c>
      <c r="AP28" s="350">
        <f t="shared" si="39"/>
        <v>103.53369947812828</v>
      </c>
      <c r="AQ28" s="351">
        <f>IF($A28=$L$3,B_1*Tb_eff*(1+$G$9)/(SQRT(8)*SQRT($H28^2+$AG$8^2)),0)</f>
        <v>0.76942055420951305</v>
      </c>
      <c r="AR28" s="351">
        <f>IF($A28=$L$3,B_1*Tb_eff*(1-$G$9)/(SQRT(8)*SQRT($H28^2+$AG$8^2)),0)</f>
        <v>0.76942055420951305</v>
      </c>
    </row>
    <row r="29" spans="1:44" s="74" customFormat="1" ht="15" customHeight="1" x14ac:dyDescent="0.2">
      <c r="A29" s="63">
        <f t="shared" si="41"/>
        <v>6.900000000000002E-2</v>
      </c>
      <c r="B29" s="64">
        <f t="shared" si="0"/>
        <v>0.24995906322753025</v>
      </c>
      <c r="C29" s="64">
        <f t="shared" si="1"/>
        <v>2.3799590632275303</v>
      </c>
      <c r="D29" s="183">
        <f t="shared" si="2"/>
        <v>-8.1255043731778436</v>
      </c>
      <c r="E29" s="64">
        <f t="shared" si="3"/>
        <v>1.5407700000000003E-3</v>
      </c>
      <c r="F29" s="65">
        <f t="shared" si="4"/>
        <v>79358.46748697295</v>
      </c>
      <c r="G29" s="65">
        <f t="shared" si="5"/>
        <v>5797.1014492753611</v>
      </c>
      <c r="H29" s="66">
        <f t="shared" si="6"/>
        <v>98.565822166784287</v>
      </c>
      <c r="I29" s="66">
        <f t="shared" si="7"/>
        <v>106.32750830380398</v>
      </c>
      <c r="J29" s="426">
        <f t="shared" si="8"/>
        <v>3.6044638158189639</v>
      </c>
      <c r="K29" s="253">
        <f t="shared" si="9"/>
        <v>0.26775432635380536</v>
      </c>
      <c r="L29" s="271">
        <f t="shared" si="10"/>
        <v>0</v>
      </c>
      <c r="M29" s="272">
        <f t="shared" si="11"/>
        <v>0</v>
      </c>
      <c r="N29" s="256">
        <f t="shared" si="30"/>
        <v>0</v>
      </c>
      <c r="O29" s="64">
        <f t="shared" si="12"/>
        <v>-8.2884612958050011E-2</v>
      </c>
      <c r="P29" s="64">
        <f t="shared" si="13"/>
        <v>1.4523228407684219E-3</v>
      </c>
      <c r="Q29" s="64">
        <f t="shared" si="14"/>
        <v>2.2681847936477481E-4</v>
      </c>
      <c r="R29" s="271">
        <f t="shared" si="44"/>
        <v>0.21643825564163358</v>
      </c>
      <c r="S29" s="64">
        <f t="shared" si="45"/>
        <v>0.47330486434460634</v>
      </c>
      <c r="T29" s="344">
        <f t="shared" si="33"/>
        <v>4.8443928175120989</v>
      </c>
      <c r="U29" s="279">
        <f t="shared" si="34"/>
        <v>5.1121471438659034</v>
      </c>
      <c r="V29" s="168">
        <f t="shared" si="15"/>
        <v>4.5944337542845686</v>
      </c>
      <c r="W29" s="184">
        <f t="shared" si="16"/>
        <v>0.32560718248790099</v>
      </c>
      <c r="X29" s="457">
        <f t="shared" si="17"/>
        <v>-7.6028903569964088</v>
      </c>
      <c r="Y29" s="72">
        <f t="shared" si="18"/>
        <v>0.7607851669543636</v>
      </c>
      <c r="Z29" s="73">
        <f t="shared" si="19"/>
        <v>0.71803369899058778</v>
      </c>
      <c r="AA29" s="301">
        <f t="shared" si="35"/>
        <v>0.43606739798117555</v>
      </c>
      <c r="AB29" s="69">
        <f t="shared" si="20"/>
        <v>0.40999464633079219</v>
      </c>
      <c r="AC29" s="68">
        <f t="shared" si="21"/>
        <v>0.40999464633079219</v>
      </c>
      <c r="AD29" s="68">
        <f t="shared" si="22"/>
        <v>0.43606739798117555</v>
      </c>
      <c r="AE29" s="23">
        <f t="shared" si="23"/>
        <v>0.92606657733855602</v>
      </c>
      <c r="AF29" s="23">
        <f t="shared" si="24"/>
        <v>0.59550375657017118</v>
      </c>
      <c r="AG29" s="23">
        <f t="shared" si="25"/>
        <v>0.92606657733855602</v>
      </c>
      <c r="AH29" s="23">
        <f t="shared" si="26"/>
        <v>0.59550375657017118</v>
      </c>
      <c r="AI29" s="23">
        <f t="shared" si="27"/>
        <v>0.7607851669543636</v>
      </c>
      <c r="AJ29" s="23">
        <f t="shared" si="28"/>
        <v>0.7607851669543636</v>
      </c>
      <c r="AK29" s="295">
        <f t="shared" si="46"/>
        <v>3.6429044491598223E-4</v>
      </c>
      <c r="AL29" s="70">
        <f t="shared" si="29"/>
        <v>5.17</v>
      </c>
      <c r="AM29" s="191">
        <f t="shared" si="37"/>
        <v>6.6000000000000003E-2</v>
      </c>
      <c r="AN29" s="192">
        <f t="shared" si="42"/>
        <v>8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7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7.2000000000000022E-2</v>
      </c>
      <c r="B30" s="64">
        <f t="shared" si="0"/>
        <v>0.26082684858524896</v>
      </c>
      <c r="C30" s="64">
        <f t="shared" si="1"/>
        <v>2.3908268485852489</v>
      </c>
      <c r="D30" s="183">
        <f t="shared" si="2"/>
        <v>-8.4787871720116623</v>
      </c>
      <c r="E30" s="64">
        <f t="shared" si="3"/>
        <v>1.6077600000000004E-3</v>
      </c>
      <c r="F30" s="65">
        <f t="shared" si="4"/>
        <v>76051.86467501575</v>
      </c>
      <c r="G30" s="65">
        <f t="shared" si="5"/>
        <v>5555.5555555555538</v>
      </c>
      <c r="H30" s="66">
        <f t="shared" si="6"/>
        <v>101.6247593315328</v>
      </c>
      <c r="I30" s="66">
        <f t="shared" si="7"/>
        <v>109.16917803058389</v>
      </c>
      <c r="J30" s="426">
        <f t="shared" si="8"/>
        <v>3.8654209077213904</v>
      </c>
      <c r="K30" s="253">
        <f t="shared" si="9"/>
        <v>0.2707761307562877</v>
      </c>
      <c r="L30" s="271">
        <f t="shared" si="10"/>
        <v>0</v>
      </c>
      <c r="M30" s="272">
        <f t="shared" si="11"/>
        <v>0</v>
      </c>
      <c r="N30" s="256">
        <f t="shared" si="30"/>
        <v>0</v>
      </c>
      <c r="O30" s="64">
        <f t="shared" si="12"/>
        <v>-8.6488291782313056E-2</v>
      </c>
      <c r="P30" s="64">
        <f t="shared" si="13"/>
        <v>1.5808752428371205E-3</v>
      </c>
      <c r="Q30" s="64">
        <f t="shared" si="14"/>
        <v>2.6875186651108794E-4</v>
      </c>
      <c r="R30" s="271">
        <f t="shared" si="44"/>
        <v>0.23682910519218092</v>
      </c>
      <c r="S30" s="64">
        <f t="shared" si="45"/>
        <v>0.55904558607927979</v>
      </c>
      <c r="T30" s="344">
        <f t="shared" si="33"/>
        <v>5.2223911994446119</v>
      </c>
      <c r="U30" s="279">
        <f t="shared" si="34"/>
        <v>5.4931673302008992</v>
      </c>
      <c r="V30" s="168">
        <f t="shared" si="15"/>
        <v>4.961564350859363</v>
      </c>
      <c r="W30" s="184">
        <f t="shared" si="16"/>
        <v>-5.2391199444612013E-2</v>
      </c>
      <c r="X30" s="457">
        <f t="shared" si="17"/>
        <v>-7.6770612861591578</v>
      </c>
      <c r="Y30" s="72">
        <f t="shared" si="18"/>
        <v>0.74098195677619638</v>
      </c>
      <c r="Z30" s="73">
        <f t="shared" si="19"/>
        <v>0.70531842000778355</v>
      </c>
      <c r="AA30" s="301">
        <f t="shared" si="35"/>
        <v>0.41063684001556711</v>
      </c>
      <c r="AB30" s="69">
        <f t="shared" si="20"/>
        <v>0.38581605511634831</v>
      </c>
      <c r="AC30" s="68">
        <f t="shared" si="21"/>
        <v>0.38581605511634831</v>
      </c>
      <c r="AD30" s="68">
        <f t="shared" si="22"/>
        <v>0.41063684001556711</v>
      </c>
      <c r="AE30" s="23">
        <f t="shared" si="23"/>
        <v>0.90196109806977909</v>
      </c>
      <c r="AF30" s="23">
        <f t="shared" si="24"/>
        <v>0.58000281548261368</v>
      </c>
      <c r="AG30" s="23">
        <f t="shared" si="25"/>
        <v>0.90196109806977909</v>
      </c>
      <c r="AH30" s="23">
        <f t="shared" si="26"/>
        <v>0.58000281548261368</v>
      </c>
      <c r="AI30" s="23">
        <f t="shared" si="27"/>
        <v>0.74098195677619638</v>
      </c>
      <c r="AJ30" s="23">
        <f t="shared" si="28"/>
        <v>0.74098195677619638</v>
      </c>
      <c r="AK30" s="295">
        <f t="shared" si="46"/>
        <v>3.5184694844488709E-4</v>
      </c>
      <c r="AL30" s="70">
        <f t="shared" si="29"/>
        <v>5.17</v>
      </c>
      <c r="AM30" s="191">
        <f t="shared" si="37"/>
        <v>6.6000000000000003E-2</v>
      </c>
      <c r="AN30" s="192">
        <f t="shared" si="42"/>
        <v>8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7"/>
        <v>0</v>
      </c>
    </row>
    <row r="31" spans="1:44" s="74" customFormat="1" ht="15" customHeight="1" x14ac:dyDescent="0.2">
      <c r="A31" s="63">
        <f t="shared" si="41"/>
        <v>7.5000000000000025E-2</v>
      </c>
      <c r="B31" s="64">
        <f t="shared" si="0"/>
        <v>0.27169463394296767</v>
      </c>
      <c r="C31" s="64">
        <f t="shared" si="1"/>
        <v>2.4016946339429674</v>
      </c>
      <c r="D31" s="183">
        <f t="shared" si="2"/>
        <v>-8.8320699708454828</v>
      </c>
      <c r="E31" s="64">
        <f t="shared" si="3"/>
        <v>1.6747500000000005E-3</v>
      </c>
      <c r="F31" s="65">
        <f t="shared" si="4"/>
        <v>73009.790088015128</v>
      </c>
      <c r="G31" s="65">
        <f t="shared" si="5"/>
        <v>5333.3333333333312</v>
      </c>
      <c r="H31" s="66">
        <f t="shared" si="6"/>
        <v>104.7187683000496</v>
      </c>
      <c r="I31" s="66">
        <f t="shared" si="7"/>
        <v>112.05506752021897</v>
      </c>
      <c r="J31" s="426">
        <f t="shared" si="8"/>
        <v>4.140723938825861</v>
      </c>
      <c r="K31" s="253">
        <f t="shared" si="9"/>
        <v>0.27449642975274724</v>
      </c>
      <c r="L31" s="271">
        <f t="shared" si="10"/>
        <v>0</v>
      </c>
      <c r="M31" s="272">
        <f t="shared" si="11"/>
        <v>0</v>
      </c>
      <c r="N31" s="256">
        <f t="shared" si="30"/>
        <v>0</v>
      </c>
      <c r="O31" s="64">
        <f t="shared" si="12"/>
        <v>-9.0091970606576102E-2</v>
      </c>
      <c r="P31" s="64">
        <f t="shared" si="13"/>
        <v>1.7148144427656397E-3</v>
      </c>
      <c r="Q31" s="64">
        <f t="shared" si="14"/>
        <v>3.1622434741901612E-4</v>
      </c>
      <c r="R31" s="271">
        <f t="shared" si="44"/>
        <v>0.26134046357409452</v>
      </c>
      <c r="S31" s="64">
        <f t="shared" si="45"/>
        <v>0.66828499413562614</v>
      </c>
      <c r="T31" s="344">
        <f t="shared" si="33"/>
        <v>5.6423602548259675</v>
      </c>
      <c r="U31" s="279">
        <f t="shared" si="34"/>
        <v>5.9168566845787147</v>
      </c>
      <c r="V31" s="168">
        <f t="shared" si="15"/>
        <v>5.3706656208829999</v>
      </c>
      <c r="W31" s="184">
        <f t="shared" si="16"/>
        <v>-0.47236025482596755</v>
      </c>
      <c r="X31" s="457">
        <f t="shared" si="17"/>
        <v>-7.7671076064078708</v>
      </c>
      <c r="Y31" s="72">
        <f t="shared" si="18"/>
        <v>0.72189855351392251</v>
      </c>
      <c r="Z31" s="73">
        <f t="shared" si="19"/>
        <v>0.6927070532241516</v>
      </c>
      <c r="AA31" s="301">
        <f t="shared" si="35"/>
        <v>0.38541410644830321</v>
      </c>
      <c r="AB31" s="69">
        <f t="shared" si="20"/>
        <v>0.36180783150758078</v>
      </c>
      <c r="AC31" s="68">
        <f t="shared" si="21"/>
        <v>0.36180783150758078</v>
      </c>
      <c r="AD31" s="68">
        <f t="shared" si="22"/>
        <v>0.38541410644830321</v>
      </c>
      <c r="AE31" s="23">
        <f t="shared" si="23"/>
        <v>0.87873180455737609</v>
      </c>
      <c r="AF31" s="23">
        <f t="shared" si="24"/>
        <v>0.56506530247046882</v>
      </c>
      <c r="AG31" s="23">
        <f t="shared" si="25"/>
        <v>0.87873180455737609</v>
      </c>
      <c r="AH31" s="23">
        <f t="shared" si="26"/>
        <v>0.56506530247046882</v>
      </c>
      <c r="AI31" s="23">
        <f t="shared" si="27"/>
        <v>0.72189855351392251</v>
      </c>
      <c r="AJ31" s="23">
        <f t="shared" si="28"/>
        <v>0.72189855351392251</v>
      </c>
      <c r="AK31" s="295">
        <f t="shared" si="46"/>
        <v>3.4014217165846688E-4</v>
      </c>
      <c r="AL31" s="70">
        <f t="shared" si="29"/>
        <v>5.17</v>
      </c>
      <c r="AM31" s="191">
        <f t="shared" si="37"/>
        <v>6.6000000000000003E-2</v>
      </c>
      <c r="AN31" s="192">
        <f t="shared" si="42"/>
        <v>8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7"/>
        <v>0</v>
      </c>
    </row>
    <row r="32" spans="1:44" s="74" customFormat="1" ht="15" customHeight="1" x14ac:dyDescent="0.2">
      <c r="A32" s="63">
        <f t="shared" si="41"/>
        <v>7.8000000000000028E-2</v>
      </c>
      <c r="B32" s="64">
        <f t="shared" si="0"/>
        <v>0.28256241930068643</v>
      </c>
      <c r="C32" s="64">
        <f t="shared" si="1"/>
        <v>2.4125624193006865</v>
      </c>
      <c r="D32" s="183">
        <f t="shared" si="2"/>
        <v>-9.1853527696793016</v>
      </c>
      <c r="E32" s="64">
        <f t="shared" si="3"/>
        <v>1.7417400000000005E-3</v>
      </c>
      <c r="F32" s="65">
        <f t="shared" si="4"/>
        <v>70201.721238476079</v>
      </c>
      <c r="G32" s="65">
        <f t="shared" si="5"/>
        <v>5128.2051282051261</v>
      </c>
      <c r="H32" s="66">
        <f t="shared" si="6"/>
        <v>107.84483054220392</v>
      </c>
      <c r="I32" s="66">
        <f t="shared" si="7"/>
        <v>114.98184725145983</v>
      </c>
      <c r="J32" s="426">
        <f t="shared" si="8"/>
        <v>4.4314135282919578</v>
      </c>
      <c r="K32" s="253">
        <f t="shared" si="9"/>
        <v>0.2790617231823056</v>
      </c>
      <c r="L32" s="271">
        <f t="shared" si="10"/>
        <v>0</v>
      </c>
      <c r="M32" s="272">
        <f t="shared" si="11"/>
        <v>0</v>
      </c>
      <c r="N32" s="256">
        <f t="shared" si="30"/>
        <v>0</v>
      </c>
      <c r="O32" s="64">
        <f t="shared" si="12"/>
        <v>-9.3695649430839148E-2</v>
      </c>
      <c r="P32" s="64">
        <f t="shared" si="13"/>
        <v>1.8541300585142588E-3</v>
      </c>
      <c r="Q32" s="64">
        <f t="shared" si="14"/>
        <v>3.6969772334401727E-4</v>
      </c>
      <c r="R32" s="271">
        <f t="shared" si="44"/>
        <v>0.29103535886456722</v>
      </c>
      <c r="S32" s="64">
        <f t="shared" si="45"/>
        <v>0.81095444576427211</v>
      </c>
      <c r="T32" s="344">
        <f t="shared" si="33"/>
        <v>6.1163354499448275</v>
      </c>
      <c r="U32" s="279">
        <f t="shared" si="34"/>
        <v>6.3953971731271331</v>
      </c>
      <c r="V32" s="168">
        <f t="shared" si="15"/>
        <v>5.8337730306441413</v>
      </c>
      <c r="W32" s="184">
        <f t="shared" si="16"/>
        <v>-0.94633544994482754</v>
      </c>
      <c r="X32" s="457">
        <f t="shared" si="17"/>
        <v>-7.8790584862463113</v>
      </c>
      <c r="Y32" s="72">
        <f t="shared" si="18"/>
        <v>0.70352314813522865</v>
      </c>
      <c r="Z32" s="73">
        <f t="shared" si="19"/>
        <v>0.68023065104668201</v>
      </c>
      <c r="AA32" s="301">
        <f t="shared" si="35"/>
        <v>0.36046130209336402</v>
      </c>
      <c r="AB32" s="69">
        <f t="shared" si="20"/>
        <v>0.33802784355976279</v>
      </c>
      <c r="AC32" s="68">
        <f t="shared" si="21"/>
        <v>0.33802784355976279</v>
      </c>
      <c r="AD32" s="68">
        <f t="shared" si="22"/>
        <v>0.36046130209336402</v>
      </c>
      <c r="AE32" s="23">
        <f t="shared" si="23"/>
        <v>0.85636432224383585</v>
      </c>
      <c r="AF32" s="23">
        <f t="shared" si="24"/>
        <v>0.55068197402662133</v>
      </c>
      <c r="AG32" s="23">
        <f t="shared" si="25"/>
        <v>0.85636432224383585</v>
      </c>
      <c r="AH32" s="23">
        <f t="shared" si="26"/>
        <v>0.55068197402662133</v>
      </c>
      <c r="AI32" s="23">
        <f t="shared" si="27"/>
        <v>0.70352314813522865</v>
      </c>
      <c r="AJ32" s="23">
        <f t="shared" si="28"/>
        <v>0.70352314813522865</v>
      </c>
      <c r="AK32" s="295">
        <f t="shared" si="46"/>
        <v>3.2912062762023862E-4</v>
      </c>
      <c r="AL32" s="70">
        <f t="shared" si="29"/>
        <v>5.17</v>
      </c>
      <c r="AM32" s="191">
        <f t="shared" si="37"/>
        <v>6.6000000000000003E-2</v>
      </c>
      <c r="AN32" s="192">
        <f t="shared" si="42"/>
        <v>8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7"/>
        <v>0</v>
      </c>
    </row>
    <row r="33" spans="1:49" s="62" customFormat="1" ht="15" customHeight="1" x14ac:dyDescent="0.25">
      <c r="A33" s="51">
        <f t="shared" si="41"/>
        <v>8.100000000000003E-2</v>
      </c>
      <c r="B33" s="52">
        <f t="shared" si="0"/>
        <v>0.29343020465840514</v>
      </c>
      <c r="C33" s="52">
        <f t="shared" si="1"/>
        <v>2.4234302046584051</v>
      </c>
      <c r="D33" s="180">
        <f t="shared" si="2"/>
        <v>-9.5386355685131221</v>
      </c>
      <c r="E33" s="52">
        <f t="shared" si="3"/>
        <v>1.8087300000000006E-3</v>
      </c>
      <c r="F33" s="53">
        <f t="shared" si="4"/>
        <v>67601.657488902885</v>
      </c>
      <c r="G33" s="53">
        <f t="shared" si="5"/>
        <v>4938.2716049382698</v>
      </c>
      <c r="H33" s="54">
        <f t="shared" si="6"/>
        <v>111.00023797444571</v>
      </c>
      <c r="I33" s="54">
        <f t="shared" si="7"/>
        <v>117.94647325403561</v>
      </c>
      <c r="J33" s="425">
        <f t="shared" si="8"/>
        <v>4.7387888010490737</v>
      </c>
      <c r="K33" s="252">
        <f t="shared" si="9"/>
        <v>0.28464714278041825</v>
      </c>
      <c r="L33" s="268">
        <f t="shared" si="10"/>
        <v>0</v>
      </c>
      <c r="M33" s="269">
        <f t="shared" si="11"/>
        <v>0</v>
      </c>
      <c r="N33" s="270">
        <f t="shared" si="30"/>
        <v>0</v>
      </c>
      <c r="O33" s="52">
        <f t="shared" si="12"/>
        <v>-9.7299328255102208E-2</v>
      </c>
      <c r="P33" s="52">
        <f t="shared" si="13"/>
        <v>1.9988112959997552E-3</v>
      </c>
      <c r="Q33" s="52">
        <f t="shared" si="14"/>
        <v>4.2965114386794335E-4</v>
      </c>
      <c r="R33" s="268">
        <f t="shared" si="44"/>
        <v>0.32736877441983636</v>
      </c>
      <c r="S33" s="52">
        <f t="shared" si="45"/>
        <v>1.0035548381364328</v>
      </c>
      <c r="T33" s="282">
        <f t="shared" si="33"/>
        <v>6.6635722694076156</v>
      </c>
      <c r="U33" s="278">
        <f t="shared" si="34"/>
        <v>6.9482194121880338</v>
      </c>
      <c r="V33" s="181">
        <f t="shared" si="15"/>
        <v>6.3701420647492109</v>
      </c>
      <c r="W33" s="182">
        <f t="shared" si="16"/>
        <v>-1.4935722694076157</v>
      </c>
      <c r="X33" s="456">
        <f t="shared" si="17"/>
        <v>-8.0226198367659016</v>
      </c>
      <c r="Y33" s="59">
        <f t="shared" si="18"/>
        <v>0.68583984688141753</v>
      </c>
      <c r="Z33" s="60">
        <f t="shared" si="19"/>
        <v>0.66791563039148927</v>
      </c>
      <c r="AA33" s="300">
        <f t="shared" si="35"/>
        <v>0.33583126078297854</v>
      </c>
      <c r="AB33" s="56">
        <f t="shared" si="20"/>
        <v>0.3145258941196416</v>
      </c>
      <c r="AC33" s="55">
        <f t="shared" si="21"/>
        <v>0.3145258941196416</v>
      </c>
      <c r="AD33" s="55">
        <f t="shared" si="22"/>
        <v>0.33583126078297854</v>
      </c>
      <c r="AE33" s="61">
        <f t="shared" si="23"/>
        <v>0.83483930443398446</v>
      </c>
      <c r="AF33" s="61">
        <f t="shared" si="24"/>
        <v>0.53684038932885059</v>
      </c>
      <c r="AG33" s="61">
        <f t="shared" si="25"/>
        <v>0.83483930443398446</v>
      </c>
      <c r="AH33" s="61">
        <f t="shared" si="26"/>
        <v>0.53684038932885059</v>
      </c>
      <c r="AI33" s="61">
        <f t="shared" si="27"/>
        <v>0.68583984688141753</v>
      </c>
      <c r="AJ33" s="61">
        <f t="shared" si="28"/>
        <v>0.68583984688141753</v>
      </c>
      <c r="AK33" s="306">
        <f t="shared" si="46"/>
        <v>3.1873106992502394E-4</v>
      </c>
      <c r="AL33" s="57">
        <f t="shared" si="29"/>
        <v>5.17</v>
      </c>
      <c r="AM33" s="190">
        <f t="shared" si="37"/>
        <v>6.6000000000000003E-2</v>
      </c>
      <c r="AN33" s="193">
        <f t="shared" si="42"/>
        <v>8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7"/>
        <v>0</v>
      </c>
    </row>
    <row r="34" spans="1:49" s="74" customFormat="1" ht="15" customHeight="1" x14ac:dyDescent="0.2">
      <c r="A34" s="63">
        <f t="shared" si="41"/>
        <v>8.4000000000000033E-2</v>
      </c>
      <c r="B34" s="64">
        <f t="shared" si="0"/>
        <v>0.30429799001612384</v>
      </c>
      <c r="C34" s="64">
        <f t="shared" si="1"/>
        <v>2.4342979900161237</v>
      </c>
      <c r="D34" s="183">
        <f t="shared" si="2"/>
        <v>-9.8919183673469409</v>
      </c>
      <c r="E34" s="64">
        <f t="shared" si="3"/>
        <v>1.8757200000000006E-3</v>
      </c>
      <c r="F34" s="65">
        <f t="shared" si="4"/>
        <v>65187.312578584926</v>
      </c>
      <c r="G34" s="65">
        <f t="shared" si="5"/>
        <v>4761.9047619047597</v>
      </c>
      <c r="H34" s="66">
        <f t="shared" si="6"/>
        <v>114.18255778095083</v>
      </c>
      <c r="I34" s="66">
        <f t="shared" si="7"/>
        <v>120.94616250250164</v>
      </c>
      <c r="J34" s="426">
        <f t="shared" si="8"/>
        <v>5.0644678252981858</v>
      </c>
      <c r="K34" s="253">
        <f t="shared" si="9"/>
        <v>0.29146723718743228</v>
      </c>
      <c r="L34" s="271">
        <f t="shared" si="10"/>
        <v>0</v>
      </c>
      <c r="M34" s="272">
        <f t="shared" si="11"/>
        <v>0</v>
      </c>
      <c r="N34" s="256">
        <f t="shared" si="30"/>
        <v>0</v>
      </c>
      <c r="O34" s="64">
        <f t="shared" si="12"/>
        <v>-0.10090300707936524</v>
      </c>
      <c r="P34" s="64">
        <f t="shared" si="13"/>
        <v>2.1488469504891299E-3</v>
      </c>
      <c r="Q34" s="64">
        <f t="shared" si="14"/>
        <v>4.9658093700849244E-4</v>
      </c>
      <c r="R34" s="271">
        <f t="shared" si="44"/>
        <v>0.37237768495336665</v>
      </c>
      <c r="S34" s="64">
        <f t="shared" si="45"/>
        <v>1.2759508973924603</v>
      </c>
      <c r="T34" s="344">
        <f t="shared" si="33"/>
        <v>7.3175909785971465</v>
      </c>
      <c r="U34" s="279">
        <f t="shared" si="34"/>
        <v>7.6090582157845779</v>
      </c>
      <c r="V34" s="168">
        <f t="shared" si="15"/>
        <v>7.0132929885810222</v>
      </c>
      <c r="W34" s="184">
        <f t="shared" si="16"/>
        <v>-2.1475909785971465</v>
      </c>
      <c r="X34" s="457">
        <f t="shared" si="17"/>
        <v>-8.2147614920783063</v>
      </c>
      <c r="Y34" s="72">
        <f t="shared" si="18"/>
        <v>0.66882974608704782</v>
      </c>
      <c r="Z34" s="73">
        <f t="shared" si="19"/>
        <v>0.65578413306684835</v>
      </c>
      <c r="AA34" s="301">
        <f t="shared" si="35"/>
        <v>0.3115682661336967</v>
      </c>
      <c r="AB34" s="69">
        <f t="shared" si="20"/>
        <v>0.29134427852508393</v>
      </c>
      <c r="AC34" s="68">
        <f t="shared" si="21"/>
        <v>0.29134427852508393</v>
      </c>
      <c r="AD34" s="68">
        <f t="shared" si="22"/>
        <v>0.3115682661336967</v>
      </c>
      <c r="AE34" s="23">
        <f t="shared" si="23"/>
        <v>0.81413374062036892</v>
      </c>
      <c r="AF34" s="23">
        <f t="shared" si="24"/>
        <v>0.52352575155372683</v>
      </c>
      <c r="AG34" s="23">
        <f t="shared" si="25"/>
        <v>0.81413374062036892</v>
      </c>
      <c r="AH34" s="23">
        <f t="shared" si="26"/>
        <v>0.52352575155372683</v>
      </c>
      <c r="AI34" s="23">
        <f t="shared" si="27"/>
        <v>0.66882974608704782</v>
      </c>
      <c r="AJ34" s="23">
        <f t="shared" si="28"/>
        <v>0.66882974608704782</v>
      </c>
      <c r="AK34" s="295">
        <f t="shared" si="46"/>
        <v>3.0892632152192123E-4</v>
      </c>
      <c r="AL34" s="70">
        <f t="shared" si="29"/>
        <v>5.17</v>
      </c>
      <c r="AM34" s="191">
        <f t="shared" si="37"/>
        <v>6.6000000000000003E-2</v>
      </c>
      <c r="AN34" s="192">
        <f t="shared" si="42"/>
        <v>8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7"/>
        <v>0</v>
      </c>
    </row>
    <row r="35" spans="1:49" s="74" customFormat="1" ht="15" customHeight="1" x14ac:dyDescent="0.2">
      <c r="A35" s="63">
        <f t="shared" si="41"/>
        <v>8.7000000000000036E-2</v>
      </c>
      <c r="B35" s="64">
        <f t="shared" si="0"/>
        <v>0.31516577537384255</v>
      </c>
      <c r="C35" s="64">
        <f t="shared" si="1"/>
        <v>2.4451657753738423</v>
      </c>
      <c r="D35" s="183">
        <f t="shared" si="2"/>
        <v>-10.245201166180761</v>
      </c>
      <c r="E35" s="64">
        <f t="shared" si="3"/>
        <v>1.9427100000000007E-3</v>
      </c>
      <c r="F35" s="65">
        <f t="shared" si="4"/>
        <v>62939.474213806126</v>
      </c>
      <c r="G35" s="65">
        <f t="shared" si="5"/>
        <v>4597.7011494252856</v>
      </c>
      <c r="H35" s="66">
        <f t="shared" si="6"/>
        <v>117.38960127594974</v>
      </c>
      <c r="I35" s="66">
        <f t="shared" si="7"/>
        <v>123.97836992962853</v>
      </c>
      <c r="J35" s="426">
        <f t="shared" si="8"/>
        <v>5.4104683257786048</v>
      </c>
      <c r="K35" s="253">
        <f t="shared" si="9"/>
        <v>0.29979135096026432</v>
      </c>
      <c r="L35" s="271">
        <f t="shared" si="10"/>
        <v>0</v>
      </c>
      <c r="M35" s="272">
        <f t="shared" si="11"/>
        <v>0</v>
      </c>
      <c r="N35" s="256">
        <f t="shared" si="30"/>
        <v>0</v>
      </c>
      <c r="O35" s="64">
        <f t="shared" si="12"/>
        <v>-0.1045066859036283</v>
      </c>
      <c r="P35" s="64">
        <f t="shared" si="13"/>
        <v>2.3042254080458493E-3</v>
      </c>
      <c r="Q35" s="64">
        <f t="shared" si="14"/>
        <v>5.7100043460481286E-4</v>
      </c>
      <c r="R35" s="271">
        <f t="shared" si="44"/>
        <v>0.4289922779301189</v>
      </c>
      <c r="S35" s="64">
        <f t="shared" si="45"/>
        <v>1.6895468728796763</v>
      </c>
      <c r="T35" s="344">
        <f t="shared" si="33"/>
        <v>8.1447442523968476</v>
      </c>
      <c r="U35" s="279">
        <f t="shared" si="34"/>
        <v>8.4445356033571137</v>
      </c>
      <c r="V35" s="168">
        <f t="shared" si="15"/>
        <v>7.8295784770230048</v>
      </c>
      <c r="W35" s="184">
        <f t="shared" si="16"/>
        <v>-2.9747442523968477</v>
      </c>
      <c r="X35" s="457">
        <f t="shared" si="17"/>
        <v>-8.4891162776539808</v>
      </c>
      <c r="Y35" s="72">
        <f t="shared" si="18"/>
        <v>0.65247180780539704</v>
      </c>
      <c r="Z35" s="73">
        <f t="shared" si="19"/>
        <v>0.64385440721710996</v>
      </c>
      <c r="AA35" s="301">
        <f t="shared" si="35"/>
        <v>0.28770881443421992</v>
      </c>
      <c r="AB35" s="69">
        <f t="shared" si="20"/>
        <v>0.26851838862522825</v>
      </c>
      <c r="AC35" s="68">
        <f t="shared" si="21"/>
        <v>0.26851838862522825</v>
      </c>
      <c r="AD35" s="68">
        <f t="shared" si="22"/>
        <v>0.28770881443421992</v>
      </c>
      <c r="AE35" s="23">
        <f t="shared" si="23"/>
        <v>0.79422202233930983</v>
      </c>
      <c r="AF35" s="23">
        <f t="shared" si="24"/>
        <v>0.51072159327148414</v>
      </c>
      <c r="AG35" s="23">
        <f t="shared" si="25"/>
        <v>0.79422202233930983</v>
      </c>
      <c r="AH35" s="23">
        <f t="shared" si="26"/>
        <v>0.51072159327148414</v>
      </c>
      <c r="AI35" s="23">
        <f t="shared" si="27"/>
        <v>0.65247180780539704</v>
      </c>
      <c r="AJ35" s="23">
        <f t="shared" si="28"/>
        <v>0.65247180780539704</v>
      </c>
      <c r="AK35" s="295">
        <f t="shared" si="46"/>
        <v>2.9966304796760014E-4</v>
      </c>
      <c r="AL35" s="70">
        <f t="shared" si="29"/>
        <v>5.17</v>
      </c>
      <c r="AM35" s="191">
        <f t="shared" si="37"/>
        <v>6.6000000000000003E-2</v>
      </c>
      <c r="AN35" s="192">
        <f t="shared" si="42"/>
        <v>8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7"/>
        <v>0</v>
      </c>
    </row>
    <row r="36" spans="1:49" s="74" customFormat="1" ht="15" customHeight="1" x14ac:dyDescent="0.2">
      <c r="A36" s="63">
        <f t="shared" si="41"/>
        <v>9.0000000000000038E-2</v>
      </c>
      <c r="B36" s="64">
        <f t="shared" si="0"/>
        <v>0.32603356073156126</v>
      </c>
      <c r="C36" s="64">
        <f t="shared" si="1"/>
        <v>2.4560335607315613</v>
      </c>
      <c r="D36" s="183">
        <f t="shared" si="2"/>
        <v>-10.59848396501458</v>
      </c>
      <c r="E36" s="64">
        <f t="shared" si="3"/>
        <v>2.009700000000001E-3</v>
      </c>
      <c r="F36" s="65">
        <f t="shared" si="4"/>
        <v>60841.491740012592</v>
      </c>
      <c r="G36" s="65">
        <f t="shared" si="5"/>
        <v>4444.4444444444425</v>
      </c>
      <c r="H36" s="66">
        <f t="shared" si="6"/>
        <v>120.61939640606084</v>
      </c>
      <c r="I36" s="66">
        <f t="shared" si="7"/>
        <v>127.04076712631974</v>
      </c>
      <c r="J36" s="426">
        <f t="shared" si="8"/>
        <v>5.7793177947626537</v>
      </c>
      <c r="K36" s="253">
        <f t="shared" si="9"/>
        <v>0.30996603777978837</v>
      </c>
      <c r="L36" s="271">
        <f t="shared" si="10"/>
        <v>0</v>
      </c>
      <c r="M36" s="272">
        <f t="shared" si="11"/>
        <v>0</v>
      </c>
      <c r="N36" s="256">
        <f t="shared" si="30"/>
        <v>0</v>
      </c>
      <c r="O36" s="64">
        <f t="shared" si="12"/>
        <v>-0.10811036472789134</v>
      </c>
      <c r="P36" s="64">
        <f t="shared" si="13"/>
        <v>2.4649346470281869E-3</v>
      </c>
      <c r="Q36" s="64">
        <f t="shared" si="14"/>
        <v>6.534397931742792E-4</v>
      </c>
      <c r="R36" s="271">
        <f t="shared" si="44"/>
        <v>0.50156918399902239</v>
      </c>
      <c r="S36" s="64">
        <f t="shared" si="45"/>
        <v>2.4009653812741565</v>
      </c>
      <c r="T36" s="344">
        <f t="shared" si="33"/>
        <v>9.3085393605605695</v>
      </c>
      <c r="U36" s="279">
        <f t="shared" si="34"/>
        <v>9.618505398340357</v>
      </c>
      <c r="V36" s="168">
        <f t="shared" si="15"/>
        <v>8.9825057998290081</v>
      </c>
      <c r="W36" s="184">
        <f t="shared" si="16"/>
        <v>-4.1385393605605696</v>
      </c>
      <c r="X36" s="457">
        <f t="shared" si="17"/>
        <v>-8.9283526626364136</v>
      </c>
      <c r="Y36" s="72">
        <f t="shared" si="18"/>
        <v>0.63674356654598696</v>
      </c>
      <c r="Z36" s="73">
        <f t="shared" si="19"/>
        <v>0.63214119344509401</v>
      </c>
      <c r="AA36" s="301">
        <f t="shared" si="35"/>
        <v>0.26428238689018801</v>
      </c>
      <c r="AB36" s="69">
        <f t="shared" si="20"/>
        <v>0.24607733612033011</v>
      </c>
      <c r="AC36" s="68">
        <f t="shared" si="21"/>
        <v>0.24607733612033011</v>
      </c>
      <c r="AD36" s="68">
        <f t="shared" si="22"/>
        <v>0.26428238689018801</v>
      </c>
      <c r="AE36" s="23">
        <f t="shared" si="23"/>
        <v>0.77507680344792906</v>
      </c>
      <c r="AF36" s="23">
        <f t="shared" si="24"/>
        <v>0.4984103296440448</v>
      </c>
      <c r="AG36" s="23">
        <f t="shared" si="25"/>
        <v>0.77507680344792906</v>
      </c>
      <c r="AH36" s="23">
        <f t="shared" si="26"/>
        <v>0.4984103296440448</v>
      </c>
      <c r="AI36" s="23">
        <f t="shared" si="27"/>
        <v>0.63674356654598696</v>
      </c>
      <c r="AJ36" s="23">
        <f t="shared" si="28"/>
        <v>0.63674356654598696</v>
      </c>
      <c r="AK36" s="295">
        <f t="shared" si="46"/>
        <v>2.9090150218000882E-4</v>
      </c>
      <c r="AL36" s="70">
        <f t="shared" si="29"/>
        <v>5.17</v>
      </c>
      <c r="AM36" s="191">
        <f t="shared" si="37"/>
        <v>6.6000000000000003E-2</v>
      </c>
      <c r="AN36" s="192">
        <f t="shared" si="42"/>
        <v>8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7"/>
        <v>0</v>
      </c>
    </row>
    <row r="37" spans="1:49" s="74" customFormat="1" ht="15" customHeight="1" x14ac:dyDescent="0.2">
      <c r="A37" s="63">
        <f t="shared" si="41"/>
        <v>9.3000000000000041E-2</v>
      </c>
      <c r="B37" s="64">
        <f t="shared" si="0"/>
        <v>0.33690134608927996</v>
      </c>
      <c r="C37" s="64">
        <f t="shared" si="1"/>
        <v>2.4669013460892799</v>
      </c>
      <c r="D37" s="183">
        <f t="shared" si="2"/>
        <v>-10.951766763848399</v>
      </c>
      <c r="E37" s="64">
        <f t="shared" si="3"/>
        <v>2.0766900000000008E-3</v>
      </c>
      <c r="F37" s="65">
        <f t="shared" si="4"/>
        <v>58878.862974205731</v>
      </c>
      <c r="G37" s="65">
        <f t="shared" si="5"/>
        <v>4301.0752688172024</v>
      </c>
      <c r="H37" s="66">
        <f t="shared" si="6"/>
        <v>123.87016350319445</v>
      </c>
      <c r="I37" s="66">
        <f t="shared" si="7"/>
        <v>130.13122272917244</v>
      </c>
      <c r="J37" s="426">
        <f t="shared" si="8"/>
        <v>6.1742070861728173</v>
      </c>
      <c r="K37" s="253">
        <f t="shared" si="9"/>
        <v>0.32244860418142185</v>
      </c>
      <c r="L37" s="271">
        <f t="shared" si="10"/>
        <v>0</v>
      </c>
      <c r="M37" s="272">
        <f t="shared" si="11"/>
        <v>0</v>
      </c>
      <c r="N37" s="256">
        <f t="shared" si="30"/>
        <v>0</v>
      </c>
      <c r="O37" s="64">
        <f t="shared" si="12"/>
        <v>-0.11171404355215439</v>
      </c>
      <c r="P37" s="64">
        <f t="shared" si="13"/>
        <v>2.6309622396393255E-3</v>
      </c>
      <c r="Q37" s="64">
        <f t="shared" si="14"/>
        <v>7.4444581044117353E-4</v>
      </c>
      <c r="R37" s="271">
        <f t="shared" si="44"/>
        <v>0.59685735920752392</v>
      </c>
      <c r="S37" s="64">
        <f t="shared" si="45"/>
        <v>4.0565914748426479</v>
      </c>
      <c r="T37" s="344">
        <f t="shared" si="33"/>
        <v>11.465301712122711</v>
      </c>
      <c r="U37" s="279">
        <f t="shared" si="34"/>
        <v>11.787750316304134</v>
      </c>
      <c r="V37" s="168">
        <f t="shared" si="15"/>
        <v>11.128400366033432</v>
      </c>
      <c r="W37" s="184">
        <f t="shared" si="16"/>
        <v>-6.2953017121227113</v>
      </c>
      <c r="X37" s="457">
        <f t="shared" si="17"/>
        <v>-9.8624126760041442</v>
      </c>
      <c r="Y37" s="72">
        <f t="shared" si="18"/>
        <v>0.62162169431930481</v>
      </c>
      <c r="Z37" s="73">
        <f t="shared" si="19"/>
        <v>0.62065610342563482</v>
      </c>
      <c r="AA37" s="301">
        <f t="shared" si="35"/>
        <v>0.24131220685126964</v>
      </c>
      <c r="AB37" s="69">
        <f t="shared" si="20"/>
        <v>0.2240445742597359</v>
      </c>
      <c r="AC37" s="68">
        <f t="shared" si="21"/>
        <v>0.2240445742597359</v>
      </c>
      <c r="AD37" s="68">
        <f t="shared" si="22"/>
        <v>0.24131220685126964</v>
      </c>
      <c r="AE37" s="23">
        <f t="shared" si="23"/>
        <v>0.75666968792545397</v>
      </c>
      <c r="AF37" s="23">
        <f t="shared" si="24"/>
        <v>0.48657370071315564</v>
      </c>
      <c r="AG37" s="23">
        <f t="shared" si="25"/>
        <v>0.75666968792545397</v>
      </c>
      <c r="AH37" s="23">
        <f t="shared" si="26"/>
        <v>0.48657370071315564</v>
      </c>
      <c r="AI37" s="23">
        <f t="shared" si="27"/>
        <v>0.62162169431930481</v>
      </c>
      <c r="AJ37" s="23">
        <f t="shared" si="28"/>
        <v>0.62162169431930481</v>
      </c>
      <c r="AK37" s="295">
        <f t="shared" si="46"/>
        <v>2.8260525881650713E-4</v>
      </c>
      <c r="AL37" s="70">
        <f t="shared" si="29"/>
        <v>5.17</v>
      </c>
      <c r="AM37" s="191">
        <f t="shared" si="37"/>
        <v>6.6000000000000003E-2</v>
      </c>
      <c r="AN37" s="192">
        <f t="shared" si="42"/>
        <v>8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7"/>
        <v>0</v>
      </c>
    </row>
    <row r="38" spans="1:49" s="85" customFormat="1" ht="15" customHeight="1" x14ac:dyDescent="0.25">
      <c r="A38" s="75">
        <f t="shared" si="41"/>
        <v>9.6000000000000044E-2</v>
      </c>
      <c r="B38" s="76">
        <f t="shared" si="0"/>
        <v>0.34776913144699867</v>
      </c>
      <c r="C38" s="76">
        <f t="shared" si="1"/>
        <v>2.4777691314469985</v>
      </c>
      <c r="D38" s="185">
        <f t="shared" si="2"/>
        <v>-11.305049562682219</v>
      </c>
      <c r="E38" s="76">
        <f t="shared" si="3"/>
        <v>2.1436800000000011E-3</v>
      </c>
      <c r="F38" s="77">
        <f t="shared" si="4"/>
        <v>57038.898506261794</v>
      </c>
      <c r="G38" s="77">
        <f t="shared" si="5"/>
        <v>4166.6666666666652</v>
      </c>
      <c r="H38" s="78">
        <f t="shared" si="6"/>
        <v>127.14029392196437</v>
      </c>
      <c r="I38" s="78">
        <f t="shared" si="7"/>
        <v>133.24778445154294</v>
      </c>
      <c r="J38" s="427">
        <f t="shared" si="8"/>
        <v>6.5992099519631058</v>
      </c>
      <c r="K38" s="254">
        <f t="shared" si="9"/>
        <v>0.3378588925241246</v>
      </c>
      <c r="L38" s="257">
        <f t="shared" si="10"/>
        <v>0</v>
      </c>
      <c r="M38" s="273">
        <f t="shared" si="11"/>
        <v>0</v>
      </c>
      <c r="N38" s="270">
        <f t="shared" si="30"/>
        <v>0</v>
      </c>
      <c r="O38" s="76">
        <f t="shared" si="12"/>
        <v>-0.11531772237641744</v>
      </c>
      <c r="P38" s="76">
        <f t="shared" si="13"/>
        <v>2.8022953535290656E-3</v>
      </c>
      <c r="Q38" s="76">
        <f t="shared" si="14"/>
        <v>8.4458173777178123E-4</v>
      </c>
      <c r="R38" s="257">
        <f>10*LOG10(1/SQRT(1-AK38*(Q/AA38)^2))</f>
        <v>0.72587561915942855</v>
      </c>
      <c r="S38" s="76" t="e">
        <f>-10*LOG10(AA38*SQRT(1-Q*Q*((SD_blw^2+AK38)/AA38^2+Vmn+(P38*P38))))-$T$13-J38-L38-Q38-N38-R38-Pmn</f>
        <v>#NUM!</v>
      </c>
      <c r="T38" s="283" t="e">
        <f t="shared" si="33"/>
        <v>#NUM!</v>
      </c>
      <c r="U38" s="280" t="e">
        <f t="shared" si="34"/>
        <v>#NUM!</v>
      </c>
      <c r="V38" s="186" t="e">
        <f t="shared" si="15"/>
        <v>#NUM!</v>
      </c>
      <c r="W38" s="187" t="e">
        <f t="shared" si="16"/>
        <v>#NUM!</v>
      </c>
      <c r="X38" s="458" t="e">
        <f t="shared" si="17"/>
        <v>#NUM!</v>
      </c>
      <c r="Y38" s="80">
        <f t="shared" si="18"/>
        <v>0.60708244785989984</v>
      </c>
      <c r="Z38" s="83">
        <f t="shared" si="19"/>
        <v>0.60940798237136184</v>
      </c>
      <c r="AA38" s="300">
        <f t="shared" si="35"/>
        <v>0.21881596474272369</v>
      </c>
      <c r="AB38" s="79">
        <f t="shared" si="20"/>
        <v>0.20243850227289517</v>
      </c>
      <c r="AC38" s="80">
        <f t="shared" si="21"/>
        <v>0.20243850227289517</v>
      </c>
      <c r="AD38" s="80">
        <f t="shared" si="22"/>
        <v>0.21881596474272369</v>
      </c>
      <c r="AE38" s="84">
        <f t="shared" si="23"/>
        <v>0.73897177425602179</v>
      </c>
      <c r="AF38" s="84">
        <f t="shared" si="24"/>
        <v>0.4751931214637779</v>
      </c>
      <c r="AG38" s="84">
        <f t="shared" si="25"/>
        <v>0.73897177425602179</v>
      </c>
      <c r="AH38" s="84">
        <f t="shared" si="26"/>
        <v>0.4751931214637779</v>
      </c>
      <c r="AI38" s="84">
        <f t="shared" si="27"/>
        <v>0.60708244785989984</v>
      </c>
      <c r="AJ38" s="84">
        <f t="shared" si="28"/>
        <v>0.60708244785989984</v>
      </c>
      <c r="AK38" s="387">
        <f t="shared" si="46"/>
        <v>2.7474095012427297E-4</v>
      </c>
      <c r="AL38" s="81">
        <f t="shared" si="29"/>
        <v>5.17</v>
      </c>
      <c r="AM38" s="194">
        <f t="shared" si="37"/>
        <v>6.6000000000000003E-2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0.6696137874755772</v>
      </c>
      <c r="AP39" s="355">
        <f>SUM(AP18:AP38)</f>
        <v>103.53369947812828</v>
      </c>
      <c r="AQ39" s="356">
        <f>SUM(AQ18:AQ38)</f>
        <v>0.76942055420951305</v>
      </c>
      <c r="AR39" s="356">
        <f>SUM(AR18:AR38)</f>
        <v>0.76942055420951305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48">0.5+(-0.5+Z41)*$Y$44</f>
        <v>-0.3146916052819172</v>
      </c>
      <c r="AB41" s="294">
        <f t="shared" ref="AB41:AB71" si="49">MAX(MIN(B_1*Tb_eff*($AA41)/(SQRT(2)*$AG$9),10),-10)</f>
        <v>-0.73849024647642347</v>
      </c>
      <c r="AC41" s="294">
        <f t="shared" ref="AC41:AC71" si="50">MAX(MIN(B_1*Tb_eff*(1-$AA41)/(SQRT(2)*$AG$9),10),-10)</f>
        <v>3.085201229805151</v>
      </c>
      <c r="AD41" s="315">
        <f t="shared" ref="AD41:AD71" si="51">(ERF(AB41)+1)/2</f>
        <v>0.14815413080995449</v>
      </c>
      <c r="AE41" s="315">
        <f t="shared" ref="AE41:AE71" si="52">(ERF(AC41)+1)/2</f>
        <v>0.99999358936524896</v>
      </c>
      <c r="AF41" s="316">
        <f t="shared" ref="AF41:AF71" si="53">AD41+AE41-1</f>
        <v>0.1481477201752035</v>
      </c>
      <c r="AG41" s="316">
        <f t="shared" ref="AG41:AG71" si="54">1-AD41</f>
        <v>0.85184586919004546</v>
      </c>
      <c r="AH41" s="316">
        <f t="shared" ref="AH41:AH71" si="55">1-AE41</f>
        <v>6.410634751041755E-6</v>
      </c>
      <c r="AI41" s="316">
        <f t="shared" ref="AI41:AI71" si="56">1-AF41</f>
        <v>0.8518522798247965</v>
      </c>
      <c r="AJ41" s="294">
        <f t="shared" ref="AJ41:AJ71" si="57">Z41-1</f>
        <v>-1.25</v>
      </c>
      <c r="AK41" s="294">
        <f t="shared" ref="AK41:AK71" si="58">Z41+1</f>
        <v>0.75</v>
      </c>
      <c r="AL41" s="294">
        <f t="shared" ref="AL41:AL71" si="59">$Z41-$G$9/(2*$Y$44)</f>
        <v>-0.25</v>
      </c>
      <c r="AM41" s="313">
        <f t="shared" ref="AM41:AM71" si="60">$Z41+$G$9/(2*$Y$44)</f>
        <v>-0.25</v>
      </c>
      <c r="AN41" s="294">
        <f>$C$12</f>
        <v>0.3</v>
      </c>
      <c r="AO41" s="323">
        <v>0.5</v>
      </c>
      <c r="AP41" s="314">
        <f t="shared" ref="AP41:AP69" si="61">MAX(MIN(B_1*Tb_eff*($AA41)/(SQRT(2)*$AP$39),10),-10)</f>
        <v>-0.49174629239609857</v>
      </c>
      <c r="AQ41" s="294">
        <f t="shared" ref="AQ41:AQ69" si="62">MAX(MIN(B_1*Tb_eff*(1-$AA41)/(SQRT(2)*$AP$39),10),-10)</f>
        <v>2.0543754955347291</v>
      </c>
      <c r="AR41" s="315">
        <f t="shared" ref="AR41:AR69" si="63">(ERF(AP41)+1)/2</f>
        <v>0.24339159319728332</v>
      </c>
      <c r="AS41" s="315">
        <f t="shared" ref="AS41:AS69" si="64">(ERF(AQ41)+1)/2</f>
        <v>0.99816564433184107</v>
      </c>
      <c r="AT41" s="316">
        <f t="shared" ref="AT41:AT69" si="65">AR41+AS41-1</f>
        <v>0.24155723752912439</v>
      </c>
      <c r="AU41" s="316">
        <f t="shared" ref="AU41:AW69" si="66">1-AR41</f>
        <v>0.75660840680271668</v>
      </c>
      <c r="AV41" s="316">
        <f t="shared" si="66"/>
        <v>1.8343556681589268E-3</v>
      </c>
      <c r="AW41" s="338">
        <f t="shared" si="66"/>
        <v>0.75844276247087561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48"/>
        <v>-0.26037883159645603</v>
      </c>
      <c r="AB42" s="294">
        <f t="shared" si="49"/>
        <v>-0.61103386393370429</v>
      </c>
      <c r="AC42" s="294">
        <f t="shared" si="50"/>
        <v>2.9577448472624308</v>
      </c>
      <c r="AD42" s="315">
        <f t="shared" si="51"/>
        <v>0.19375758730262455</v>
      </c>
      <c r="AE42" s="315">
        <f t="shared" si="52"/>
        <v>0.99998560821513183</v>
      </c>
      <c r="AF42" s="316">
        <f t="shared" si="53"/>
        <v>0.19374319551775643</v>
      </c>
      <c r="AG42" s="316">
        <f t="shared" si="54"/>
        <v>0.80624241269737551</v>
      </c>
      <c r="AH42" s="316">
        <f t="shared" si="55"/>
        <v>1.4391784868172941E-5</v>
      </c>
      <c r="AI42" s="316">
        <f t="shared" si="56"/>
        <v>0.80625680448224357</v>
      </c>
      <c r="AJ42" s="294">
        <f t="shared" si="57"/>
        <v>-1.2</v>
      </c>
      <c r="AK42" s="294">
        <f t="shared" si="58"/>
        <v>0.8</v>
      </c>
      <c r="AL42" s="294">
        <f t="shared" si="59"/>
        <v>-0.2</v>
      </c>
      <c r="AM42" s="313">
        <f t="shared" si="60"/>
        <v>-0.2</v>
      </c>
      <c r="AN42" s="294">
        <f>$C$13</f>
        <v>0.4</v>
      </c>
      <c r="AO42" s="323">
        <f>$C$14</f>
        <v>0.25</v>
      </c>
      <c r="AP42" s="314">
        <f t="shared" si="61"/>
        <v>-0.40687556613173764</v>
      </c>
      <c r="AQ42" s="294">
        <f t="shared" si="62"/>
        <v>1.9695047692703676</v>
      </c>
      <c r="AR42" s="315">
        <f t="shared" si="63"/>
        <v>0.28250737837747053</v>
      </c>
      <c r="AS42" s="315">
        <f t="shared" si="64"/>
        <v>0.99732609196301891</v>
      </c>
      <c r="AT42" s="316">
        <f t="shared" si="65"/>
        <v>0.27983347034048944</v>
      </c>
      <c r="AU42" s="316">
        <f t="shared" si="66"/>
        <v>0.71749262162252947</v>
      </c>
      <c r="AV42" s="316">
        <f t="shared" si="66"/>
        <v>2.6739080369810875E-3</v>
      </c>
      <c r="AW42" s="338">
        <f t="shared" si="66"/>
        <v>0.72016652965951056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48"/>
        <v>-0.20606605791099497</v>
      </c>
      <c r="AB43" s="294">
        <f t="shared" si="49"/>
        <v>-0.48357748139098539</v>
      </c>
      <c r="AC43" s="294">
        <f t="shared" si="50"/>
        <v>2.8302884647197124</v>
      </c>
      <c r="AD43" s="315">
        <f t="shared" si="51"/>
        <v>0.24702489343520351</v>
      </c>
      <c r="AE43" s="315">
        <f t="shared" si="52"/>
        <v>0.99996867919520727</v>
      </c>
      <c r="AF43" s="316">
        <f t="shared" si="53"/>
        <v>0.24699357263041088</v>
      </c>
      <c r="AG43" s="316">
        <f t="shared" si="54"/>
        <v>0.75297510656479649</v>
      </c>
      <c r="AH43" s="316">
        <f t="shared" si="55"/>
        <v>3.1320804792733803E-5</v>
      </c>
      <c r="AI43" s="316">
        <f t="shared" si="56"/>
        <v>0.75300642736958912</v>
      </c>
      <c r="AJ43" s="294">
        <f t="shared" si="57"/>
        <v>-1.1499999999999999</v>
      </c>
      <c r="AK43" s="294">
        <f t="shared" si="58"/>
        <v>0.85</v>
      </c>
      <c r="AL43" s="294">
        <f t="shared" si="59"/>
        <v>-0.15000000000000002</v>
      </c>
      <c r="AM43" s="313">
        <f t="shared" si="60"/>
        <v>-0.15000000000000002</v>
      </c>
      <c r="AN43" s="294">
        <f>1-AN42</f>
        <v>0.6</v>
      </c>
      <c r="AO43" s="323">
        <f>$C$14</f>
        <v>0.25</v>
      </c>
      <c r="AP43" s="314">
        <f t="shared" si="61"/>
        <v>-0.32200483986737688</v>
      </c>
      <c r="AQ43" s="294">
        <f t="shared" si="62"/>
        <v>1.8846340430060071</v>
      </c>
      <c r="AR43" s="315">
        <f t="shared" si="63"/>
        <v>0.32441664166115886</v>
      </c>
      <c r="AS43" s="315">
        <f t="shared" si="64"/>
        <v>0.99615373083062186</v>
      </c>
      <c r="AT43" s="316">
        <f t="shared" si="65"/>
        <v>0.32057037249178078</v>
      </c>
      <c r="AU43" s="316">
        <f t="shared" si="66"/>
        <v>0.67558335833884109</v>
      </c>
      <c r="AV43" s="316">
        <f t="shared" si="66"/>
        <v>3.8462691693781359E-3</v>
      </c>
      <c r="AW43" s="338">
        <f t="shared" si="66"/>
        <v>0.67942962750821922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48"/>
        <v>-0.15175328422553369</v>
      </c>
      <c r="AB44" s="294">
        <f t="shared" si="49"/>
        <v>-0.35612109884826598</v>
      </c>
      <c r="AC44" s="294">
        <f t="shared" si="50"/>
        <v>2.7028320821769927</v>
      </c>
      <c r="AD44" s="315">
        <f t="shared" si="51"/>
        <v>0.3072602508957859</v>
      </c>
      <c r="AE44" s="315">
        <f t="shared" si="52"/>
        <v>0.99993391557788747</v>
      </c>
      <c r="AF44" s="316">
        <f t="shared" si="53"/>
        <v>0.30719416647367348</v>
      </c>
      <c r="AG44" s="316">
        <f t="shared" si="54"/>
        <v>0.6927397491042141</v>
      </c>
      <c r="AH44" s="316">
        <f t="shared" si="55"/>
        <v>6.6084422112533403E-5</v>
      </c>
      <c r="AI44" s="316">
        <f t="shared" si="56"/>
        <v>0.69280583352632652</v>
      </c>
      <c r="AJ44" s="294">
        <f t="shared" si="57"/>
        <v>-1.1000000000000001</v>
      </c>
      <c r="AK44" s="294">
        <f t="shared" si="58"/>
        <v>0.9</v>
      </c>
      <c r="AL44" s="294">
        <f t="shared" si="59"/>
        <v>-0.10000000000000002</v>
      </c>
      <c r="AM44" s="313">
        <f t="shared" si="60"/>
        <v>-0.10000000000000002</v>
      </c>
      <c r="AN44" s="294">
        <f>1-AN41</f>
        <v>0.7</v>
      </c>
      <c r="AO44" s="323">
        <v>0.5</v>
      </c>
      <c r="AP44" s="314">
        <f t="shared" si="61"/>
        <v>-0.23713411360301578</v>
      </c>
      <c r="AQ44" s="294">
        <f t="shared" si="62"/>
        <v>1.7997633167416456</v>
      </c>
      <c r="AR44" s="315">
        <f t="shared" si="63"/>
        <v>0.36867741780743929</v>
      </c>
      <c r="AS44" s="315">
        <f t="shared" si="64"/>
        <v>0.99454001886877774</v>
      </c>
      <c r="AT44" s="316">
        <f t="shared" si="65"/>
        <v>0.36321743667621709</v>
      </c>
      <c r="AU44" s="316">
        <f t="shared" si="66"/>
        <v>0.63132258219256077</v>
      </c>
      <c r="AV44" s="316">
        <f t="shared" si="66"/>
        <v>5.4599811312222579E-3</v>
      </c>
      <c r="AW44" s="338">
        <f t="shared" si="66"/>
        <v>0.63678256332378291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48"/>
        <v>-9.7440510540072633E-2</v>
      </c>
      <c r="AB45" s="294">
        <f t="shared" si="49"/>
        <v>-0.22866471630554702</v>
      </c>
      <c r="AC45" s="294">
        <f t="shared" si="50"/>
        <v>2.5753756996342738</v>
      </c>
      <c r="AD45" s="315">
        <f t="shared" si="51"/>
        <v>0.3732034557902929</v>
      </c>
      <c r="AE45" s="315">
        <f t="shared" si="52"/>
        <v>0.99986480492457863</v>
      </c>
      <c r="AF45" s="316">
        <f t="shared" si="53"/>
        <v>0.37306826071487142</v>
      </c>
      <c r="AG45" s="316">
        <f t="shared" si="54"/>
        <v>0.6267965442097071</v>
      </c>
      <c r="AH45" s="316">
        <f t="shared" si="55"/>
        <v>1.3519507542136822E-4</v>
      </c>
      <c r="AI45" s="316">
        <f t="shared" si="56"/>
        <v>0.62693173928512858</v>
      </c>
      <c r="AJ45" s="294">
        <f t="shared" si="57"/>
        <v>-1.05</v>
      </c>
      <c r="AK45" s="294">
        <f t="shared" si="58"/>
        <v>0.95</v>
      </c>
      <c r="AL45" s="294">
        <f t="shared" si="59"/>
        <v>-5.0000000000000017E-2</v>
      </c>
      <c r="AM45" s="313">
        <f t="shared" si="60"/>
        <v>-5.0000000000000017E-2</v>
      </c>
      <c r="AN45" s="294">
        <f>AN43</f>
        <v>0.6</v>
      </c>
      <c r="AO45" s="323">
        <f>1-$C$14</f>
        <v>0.75</v>
      </c>
      <c r="AP45" s="314">
        <f t="shared" si="61"/>
        <v>-0.15226338733865497</v>
      </c>
      <c r="AQ45" s="294">
        <f t="shared" si="62"/>
        <v>1.7148925904772852</v>
      </c>
      <c r="AR45" s="315">
        <f t="shared" si="63"/>
        <v>0.41475387187581103</v>
      </c>
      <c r="AS45" s="315">
        <f t="shared" si="64"/>
        <v>0.99235053568266762</v>
      </c>
      <c r="AT45" s="316">
        <f t="shared" si="65"/>
        <v>0.40710440755847865</v>
      </c>
      <c r="AU45" s="316">
        <f t="shared" si="66"/>
        <v>0.58524612812418897</v>
      </c>
      <c r="AV45" s="316">
        <f t="shared" si="66"/>
        <v>7.6494643173323773E-3</v>
      </c>
      <c r="AW45" s="338">
        <f t="shared" si="66"/>
        <v>0.59289559244152135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48"/>
        <v>-4.3127736854611465E-2</v>
      </c>
      <c r="AB46" s="294">
        <f t="shared" si="49"/>
        <v>-0.10120833376282784</v>
      </c>
      <c r="AC46" s="294">
        <f t="shared" si="50"/>
        <v>2.4479193170915545</v>
      </c>
      <c r="AD46" s="315">
        <f t="shared" si="51"/>
        <v>0.4430936778663821</v>
      </c>
      <c r="AE46" s="315">
        <f t="shared" si="52"/>
        <v>0.99973179256066125</v>
      </c>
      <c r="AF46" s="316">
        <f t="shared" si="53"/>
        <v>0.44282547042704334</v>
      </c>
      <c r="AG46" s="316">
        <f t="shared" si="54"/>
        <v>0.5569063221336179</v>
      </c>
      <c r="AH46" s="316">
        <f t="shared" si="55"/>
        <v>2.6820743933875235E-4</v>
      </c>
      <c r="AI46" s="316">
        <f t="shared" si="56"/>
        <v>0.55717452957295666</v>
      </c>
      <c r="AJ46" s="294">
        <f t="shared" si="57"/>
        <v>-1</v>
      </c>
      <c r="AK46" s="294">
        <f t="shared" si="58"/>
        <v>1</v>
      </c>
      <c r="AL46" s="294">
        <f t="shared" si="59"/>
        <v>0</v>
      </c>
      <c r="AM46" s="313">
        <f t="shared" si="60"/>
        <v>0</v>
      </c>
      <c r="AN46" s="294">
        <f>AN42</f>
        <v>0.4</v>
      </c>
      <c r="AO46" s="323">
        <f>AO45</f>
        <v>0.75</v>
      </c>
      <c r="AP46" s="314">
        <f t="shared" si="61"/>
        <v>-6.7392661074294036E-2</v>
      </c>
      <c r="AQ46" s="294">
        <f t="shared" si="62"/>
        <v>1.6300218642129241</v>
      </c>
      <c r="AR46" s="315">
        <f t="shared" si="63"/>
        <v>0.46203524703007703</v>
      </c>
      <c r="AS46" s="315">
        <f t="shared" si="64"/>
        <v>0.98942228533549548</v>
      </c>
      <c r="AT46" s="316">
        <f t="shared" si="65"/>
        <v>0.45145753236557251</v>
      </c>
      <c r="AU46" s="316">
        <f t="shared" si="66"/>
        <v>0.53796475296992297</v>
      </c>
      <c r="AV46" s="316">
        <f t="shared" si="66"/>
        <v>1.0577714664504523E-2</v>
      </c>
      <c r="AW46" s="338">
        <f t="shared" si="66"/>
        <v>0.54854246763442749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48"/>
        <v>1.1185036830849648E-2</v>
      </c>
      <c r="AB47" s="294">
        <f t="shared" si="49"/>
        <v>2.6248048779891203E-2</v>
      </c>
      <c r="AC47" s="294">
        <f t="shared" si="50"/>
        <v>2.3204629345488357</v>
      </c>
      <c r="AD47" s="315">
        <f t="shared" si="51"/>
        <v>0.51480547550489031</v>
      </c>
      <c r="AE47" s="315">
        <f t="shared" si="52"/>
        <v>0.99948395559716285</v>
      </c>
      <c r="AF47" s="316">
        <f t="shared" si="53"/>
        <v>0.51428943110205316</v>
      </c>
      <c r="AG47" s="316">
        <f t="shared" si="54"/>
        <v>0.48519452449510969</v>
      </c>
      <c r="AH47" s="316">
        <f t="shared" si="55"/>
        <v>5.1604440283714581E-4</v>
      </c>
      <c r="AI47" s="316">
        <f t="shared" si="56"/>
        <v>0.48571056889794684</v>
      </c>
      <c r="AJ47" s="294">
        <f t="shared" si="57"/>
        <v>-0.95</v>
      </c>
      <c r="AK47" s="294">
        <f t="shared" si="58"/>
        <v>1.05</v>
      </c>
      <c r="AL47" s="294">
        <f t="shared" si="59"/>
        <v>0.05</v>
      </c>
      <c r="AM47" s="313">
        <f t="shared" si="60"/>
        <v>0.05</v>
      </c>
      <c r="AN47" s="319">
        <f>AN41</f>
        <v>0.3</v>
      </c>
      <c r="AO47" s="324">
        <v>0.5</v>
      </c>
      <c r="AP47" s="314">
        <f t="shared" si="61"/>
        <v>1.7478065190066814E-2</v>
      </c>
      <c r="AQ47" s="294">
        <f t="shared" si="62"/>
        <v>1.5451511379485632</v>
      </c>
      <c r="AR47" s="315">
        <f t="shared" si="63"/>
        <v>0.50985993829685172</v>
      </c>
      <c r="AS47" s="315">
        <f t="shared" si="64"/>
        <v>0.98556194327719182</v>
      </c>
      <c r="AT47" s="316">
        <f t="shared" si="65"/>
        <v>0.49542188157404343</v>
      </c>
      <c r="AU47" s="316">
        <f t="shared" si="66"/>
        <v>0.49014006170314828</v>
      </c>
      <c r="AV47" s="316">
        <f t="shared" si="66"/>
        <v>1.4438056722808179E-2</v>
      </c>
      <c r="AW47" s="338">
        <f t="shared" si="66"/>
        <v>0.50457811842595657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48"/>
        <v>6.5497810516310817E-2</v>
      </c>
      <c r="AB48" s="294">
        <f t="shared" si="49"/>
        <v>0.15370443132261039</v>
      </c>
      <c r="AC48" s="294">
        <f t="shared" si="50"/>
        <v>2.1930065520061164</v>
      </c>
      <c r="AD48" s="315">
        <f t="shared" si="51"/>
        <v>0.58604034290888707</v>
      </c>
      <c r="AE48" s="315">
        <f t="shared" si="52"/>
        <v>0.99903689409191743</v>
      </c>
      <c r="AF48" s="316">
        <f t="shared" si="53"/>
        <v>0.58507723700080438</v>
      </c>
      <c r="AG48" s="316">
        <f t="shared" si="54"/>
        <v>0.41395965709111293</v>
      </c>
      <c r="AH48" s="316">
        <f t="shared" si="55"/>
        <v>9.6310590808257324E-4</v>
      </c>
      <c r="AI48" s="316">
        <f t="shared" si="56"/>
        <v>0.41492276299919562</v>
      </c>
      <c r="AJ48" s="294">
        <f t="shared" si="57"/>
        <v>-0.9</v>
      </c>
      <c r="AK48" s="294">
        <f t="shared" si="58"/>
        <v>1.1000000000000001</v>
      </c>
      <c r="AL48" s="294">
        <f t="shared" si="59"/>
        <v>0.1</v>
      </c>
      <c r="AM48" s="313">
        <f t="shared" si="60"/>
        <v>0.1</v>
      </c>
      <c r="AP48" s="314">
        <f t="shared" si="61"/>
        <v>0.10234879145442777</v>
      </c>
      <c r="AQ48" s="294">
        <f t="shared" si="62"/>
        <v>1.4602804116842021</v>
      </c>
      <c r="AR48" s="315">
        <f t="shared" si="63"/>
        <v>0.55754312556296837</v>
      </c>
      <c r="AS48" s="315">
        <f t="shared" si="64"/>
        <v>0.98054551771220888</v>
      </c>
      <c r="AT48" s="316">
        <f t="shared" si="65"/>
        <v>0.53808864327517725</v>
      </c>
      <c r="AU48" s="316">
        <f t="shared" si="66"/>
        <v>0.44245687443703163</v>
      </c>
      <c r="AV48" s="316">
        <f t="shared" si="66"/>
        <v>1.9454482287791119E-2</v>
      </c>
      <c r="AW48" s="338">
        <f t="shared" si="66"/>
        <v>0.46191135672482275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48"/>
        <v>0.11981058420177199</v>
      </c>
      <c r="AB49" s="294">
        <f t="shared" si="49"/>
        <v>0.28116081386532954</v>
      </c>
      <c r="AC49" s="294">
        <f t="shared" si="50"/>
        <v>2.0655501694633971</v>
      </c>
      <c r="AD49" s="315">
        <f t="shared" si="51"/>
        <v>0.65454537156906534</v>
      </c>
      <c r="AE49" s="315">
        <f t="shared" si="52"/>
        <v>0.99825617343070294</v>
      </c>
      <c r="AF49" s="316">
        <f t="shared" si="53"/>
        <v>0.65280154499976817</v>
      </c>
      <c r="AG49" s="316">
        <f t="shared" si="54"/>
        <v>0.34545462843093466</v>
      </c>
      <c r="AH49" s="316">
        <f t="shared" si="55"/>
        <v>1.7438265692970578E-3</v>
      </c>
      <c r="AI49" s="316">
        <f t="shared" si="56"/>
        <v>0.34719845500023183</v>
      </c>
      <c r="AJ49" s="294">
        <f t="shared" si="57"/>
        <v>-0.85</v>
      </c>
      <c r="AK49" s="294">
        <f t="shared" si="58"/>
        <v>1.1499999999999999</v>
      </c>
      <c r="AL49" s="294">
        <f t="shared" si="59"/>
        <v>0.15000000000000002</v>
      </c>
      <c r="AM49" s="313">
        <f t="shared" si="60"/>
        <v>0.15000000000000002</v>
      </c>
      <c r="AP49" s="314">
        <f t="shared" si="61"/>
        <v>0.1872195177187887</v>
      </c>
      <c r="AQ49" s="294">
        <f t="shared" si="62"/>
        <v>1.3754096854198412</v>
      </c>
      <c r="AR49" s="315">
        <f t="shared" si="63"/>
        <v>0.6044060519679505</v>
      </c>
      <c r="AS49" s="315">
        <f t="shared" si="64"/>
        <v>0.97411991369611317</v>
      </c>
      <c r="AT49" s="316">
        <f t="shared" si="65"/>
        <v>0.57852596566406378</v>
      </c>
      <c r="AU49" s="316">
        <f t="shared" si="66"/>
        <v>0.3955939480320495</v>
      </c>
      <c r="AV49" s="316">
        <f t="shared" si="66"/>
        <v>2.5880086303886829E-2</v>
      </c>
      <c r="AW49" s="338">
        <f t="shared" si="66"/>
        <v>0.42147403433593622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48"/>
        <v>0.17412335788723315</v>
      </c>
      <c r="AB50" s="294">
        <f t="shared" si="49"/>
        <v>0.40861719640804872</v>
      </c>
      <c r="AC50" s="294">
        <f t="shared" si="50"/>
        <v>1.9380937869206778</v>
      </c>
      <c r="AD50" s="315">
        <f t="shared" si="51"/>
        <v>0.7183247233241512</v>
      </c>
      <c r="AE50" s="315">
        <f t="shared" si="52"/>
        <v>0.99693624210125376</v>
      </c>
      <c r="AF50" s="316">
        <f t="shared" si="53"/>
        <v>0.71526096542540496</v>
      </c>
      <c r="AG50" s="316">
        <f t="shared" si="54"/>
        <v>0.2816752766758488</v>
      </c>
      <c r="AH50" s="316">
        <f t="shared" si="55"/>
        <v>3.0637578987462444E-3</v>
      </c>
      <c r="AI50" s="316">
        <f t="shared" si="56"/>
        <v>0.28473903457459504</v>
      </c>
      <c r="AJ50" s="294">
        <f t="shared" si="57"/>
        <v>-0.8</v>
      </c>
      <c r="AK50" s="294">
        <f t="shared" si="58"/>
        <v>1.2</v>
      </c>
      <c r="AL50" s="294">
        <f t="shared" si="59"/>
        <v>0.2</v>
      </c>
      <c r="AM50" s="313">
        <f t="shared" si="60"/>
        <v>0.2</v>
      </c>
      <c r="AP50" s="314">
        <f t="shared" si="61"/>
        <v>0.27209024398314963</v>
      </c>
      <c r="AQ50" s="294">
        <f t="shared" si="62"/>
        <v>1.2905389591554803</v>
      </c>
      <c r="AR50" s="315">
        <f t="shared" si="63"/>
        <v>0.64980487135478526</v>
      </c>
      <c r="AS50" s="315">
        <f t="shared" si="64"/>
        <v>0.96600685629920491</v>
      </c>
      <c r="AT50" s="316">
        <f t="shared" si="65"/>
        <v>0.61581172765399028</v>
      </c>
      <c r="AU50" s="316">
        <f t="shared" si="66"/>
        <v>0.35019512864521474</v>
      </c>
      <c r="AV50" s="316">
        <f t="shared" si="66"/>
        <v>3.3993143700795092E-2</v>
      </c>
      <c r="AW50" s="338">
        <f t="shared" si="66"/>
        <v>0.38418827234600972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48"/>
        <v>0.22843613157269427</v>
      </c>
      <c r="AB51" s="294">
        <f t="shared" si="49"/>
        <v>0.53607357895076779</v>
      </c>
      <c r="AC51" s="294">
        <f t="shared" si="50"/>
        <v>1.8106374043779592</v>
      </c>
      <c r="AD51" s="315">
        <f t="shared" si="51"/>
        <v>0.77581118213633027</v>
      </c>
      <c r="AE51" s="315">
        <f t="shared" si="52"/>
        <v>0.99477584128292373</v>
      </c>
      <c r="AF51" s="316">
        <f t="shared" si="53"/>
        <v>0.770587023419254</v>
      </c>
      <c r="AG51" s="316">
        <f t="shared" si="54"/>
        <v>0.22418881786366973</v>
      </c>
      <c r="AH51" s="316">
        <f t="shared" si="55"/>
        <v>5.224158717076266E-3</v>
      </c>
      <c r="AI51" s="316">
        <f t="shared" si="56"/>
        <v>0.229412976580746</v>
      </c>
      <c r="AJ51" s="294">
        <f t="shared" si="57"/>
        <v>-0.75</v>
      </c>
      <c r="AK51" s="294">
        <f t="shared" si="58"/>
        <v>1.25</v>
      </c>
      <c r="AL51" s="294">
        <f t="shared" si="59"/>
        <v>0.25</v>
      </c>
      <c r="AM51" s="313">
        <f t="shared" si="60"/>
        <v>0.25</v>
      </c>
      <c r="AP51" s="314">
        <f t="shared" si="61"/>
        <v>0.3569609702475105</v>
      </c>
      <c r="AQ51" s="294">
        <f t="shared" si="62"/>
        <v>1.2056682328911197</v>
      </c>
      <c r="AR51" s="315">
        <f t="shared" si="63"/>
        <v>0.69315703111909843</v>
      </c>
      <c r="AS51" s="315">
        <f t="shared" si="64"/>
        <v>0.95590953570162362</v>
      </c>
      <c r="AT51" s="316">
        <f t="shared" si="65"/>
        <v>0.64906656682072206</v>
      </c>
      <c r="AU51" s="316">
        <f t="shared" si="66"/>
        <v>0.30684296888090157</v>
      </c>
      <c r="AV51" s="316">
        <f t="shared" si="66"/>
        <v>4.4090464298376375E-2</v>
      </c>
      <c r="AW51" s="338">
        <f t="shared" si="66"/>
        <v>0.35093343317927794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48"/>
        <v>0.28274890525815544</v>
      </c>
      <c r="AB52" s="294">
        <f t="shared" si="49"/>
        <v>0.66352996149348697</v>
      </c>
      <c r="AC52" s="294">
        <f t="shared" si="50"/>
        <v>1.6831810218352401</v>
      </c>
      <c r="AD52" s="315">
        <f t="shared" si="51"/>
        <v>0.82597363992870643</v>
      </c>
      <c r="AE52" s="315">
        <f t="shared" si="52"/>
        <v>0.9913525431726149</v>
      </c>
      <c r="AF52" s="316">
        <f t="shared" si="53"/>
        <v>0.81732618310132121</v>
      </c>
      <c r="AG52" s="316">
        <f t="shared" si="54"/>
        <v>0.17402636007129357</v>
      </c>
      <c r="AH52" s="316">
        <f t="shared" si="55"/>
        <v>8.6474568273851027E-3</v>
      </c>
      <c r="AI52" s="316">
        <f t="shared" si="56"/>
        <v>0.18267381689867879</v>
      </c>
      <c r="AJ52" s="294">
        <f t="shared" si="57"/>
        <v>-0.7</v>
      </c>
      <c r="AK52" s="294">
        <f t="shared" si="58"/>
        <v>1.3</v>
      </c>
      <c r="AL52" s="294">
        <f t="shared" si="59"/>
        <v>0.3</v>
      </c>
      <c r="AM52" s="313">
        <f t="shared" si="60"/>
        <v>0.3</v>
      </c>
      <c r="AP52" s="314">
        <f t="shared" si="61"/>
        <v>0.44183169651187149</v>
      </c>
      <c r="AQ52" s="294">
        <f t="shared" si="62"/>
        <v>1.1207975066267588</v>
      </c>
      <c r="AR52" s="315">
        <f t="shared" si="63"/>
        <v>0.73396339923533105</v>
      </c>
      <c r="AS52" s="315">
        <f t="shared" si="64"/>
        <v>0.94352217590179932</v>
      </c>
      <c r="AT52" s="316">
        <f t="shared" si="65"/>
        <v>0.67748557513713026</v>
      </c>
      <c r="AU52" s="316">
        <f t="shared" si="66"/>
        <v>0.26603660076466895</v>
      </c>
      <c r="AV52" s="316">
        <f t="shared" si="66"/>
        <v>5.647782409820068E-2</v>
      </c>
      <c r="AW52" s="338">
        <f t="shared" si="66"/>
        <v>0.32251442486286974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48"/>
        <v>0.33706167894361655</v>
      </c>
      <c r="AB53" s="294">
        <f t="shared" si="49"/>
        <v>0.79098634403620605</v>
      </c>
      <c r="AC53" s="294">
        <f t="shared" si="50"/>
        <v>1.555724639292521</v>
      </c>
      <c r="AD53" s="315">
        <f t="shared" si="51"/>
        <v>0.86834962779732705</v>
      </c>
      <c r="AE53" s="315">
        <f t="shared" si="52"/>
        <v>0.9861010530238361</v>
      </c>
      <c r="AF53" s="316">
        <f t="shared" si="53"/>
        <v>0.85445068082116316</v>
      </c>
      <c r="AG53" s="316">
        <f t="shared" si="54"/>
        <v>0.13165037220267295</v>
      </c>
      <c r="AH53" s="316">
        <f t="shared" si="55"/>
        <v>1.3898946976163895E-2</v>
      </c>
      <c r="AI53" s="316">
        <f t="shared" si="56"/>
        <v>0.14554931917883684</v>
      </c>
      <c r="AJ53" s="294">
        <f t="shared" si="57"/>
        <v>-0.65</v>
      </c>
      <c r="AK53" s="294">
        <f t="shared" si="58"/>
        <v>1.35</v>
      </c>
      <c r="AL53" s="294">
        <f t="shared" si="59"/>
        <v>0.35</v>
      </c>
      <c r="AM53" s="313">
        <f t="shared" si="60"/>
        <v>0.35</v>
      </c>
      <c r="AP53" s="314">
        <f t="shared" si="61"/>
        <v>0.52670242277623236</v>
      </c>
      <c r="AQ53" s="294">
        <f t="shared" si="62"/>
        <v>1.0359267803623979</v>
      </c>
      <c r="AR53" s="315">
        <f t="shared" si="63"/>
        <v>0.77182475592138222</v>
      </c>
      <c r="AS53" s="315">
        <f t="shared" si="64"/>
        <v>0.92854250161803809</v>
      </c>
      <c r="AT53" s="316">
        <f t="shared" si="65"/>
        <v>0.70036725753942042</v>
      </c>
      <c r="AU53" s="316">
        <f t="shared" si="66"/>
        <v>0.22817524407861778</v>
      </c>
      <c r="AV53" s="316">
        <f t="shared" si="66"/>
        <v>7.1457498381961915E-2</v>
      </c>
      <c r="AW53" s="338">
        <f t="shared" si="66"/>
        <v>0.29963274246057958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48"/>
        <v>0.39137445262907766</v>
      </c>
      <c r="AB54" s="294">
        <f t="shared" si="49"/>
        <v>0.91844272657892501</v>
      </c>
      <c r="AC54" s="294">
        <f t="shared" si="50"/>
        <v>1.428268256749802</v>
      </c>
      <c r="AD54" s="315">
        <f t="shared" si="51"/>
        <v>0.90300644061531887</v>
      </c>
      <c r="AE54" s="315">
        <f t="shared" si="52"/>
        <v>0.97830189195039841</v>
      </c>
      <c r="AF54" s="316">
        <f t="shared" si="53"/>
        <v>0.88130833256571739</v>
      </c>
      <c r="AG54" s="316">
        <f t="shared" si="54"/>
        <v>9.6993559384681127E-2</v>
      </c>
      <c r="AH54" s="316">
        <f t="shared" si="55"/>
        <v>2.1698108049601594E-2</v>
      </c>
      <c r="AI54" s="316">
        <f t="shared" si="56"/>
        <v>0.11869166743428261</v>
      </c>
      <c r="AJ54" s="294">
        <f t="shared" si="57"/>
        <v>-0.60000000000000009</v>
      </c>
      <c r="AK54" s="294">
        <f t="shared" si="58"/>
        <v>1.4</v>
      </c>
      <c r="AL54" s="294">
        <f t="shared" si="59"/>
        <v>0.39999999999999997</v>
      </c>
      <c r="AM54" s="313">
        <f t="shared" si="60"/>
        <v>0.39999999999999997</v>
      </c>
      <c r="AP54" s="314">
        <f t="shared" si="61"/>
        <v>0.61157314904059312</v>
      </c>
      <c r="AQ54" s="294">
        <f t="shared" si="62"/>
        <v>0.95105605409803695</v>
      </c>
      <c r="AR54" s="315">
        <f t="shared" si="63"/>
        <v>0.80645180037701913</v>
      </c>
      <c r="AS54" s="315">
        <f t="shared" si="64"/>
        <v>0.91068679663260721</v>
      </c>
      <c r="AT54" s="316">
        <f t="shared" si="65"/>
        <v>0.71713859700962646</v>
      </c>
      <c r="AU54" s="316">
        <f t="shared" si="66"/>
        <v>0.19354819962298087</v>
      </c>
      <c r="AV54" s="316">
        <f t="shared" si="66"/>
        <v>8.9313203367392791E-2</v>
      </c>
      <c r="AW54" s="338">
        <f t="shared" si="66"/>
        <v>0.28286140299037354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48"/>
        <v>0.44568722631453883</v>
      </c>
      <c r="AB55" s="294">
        <f t="shared" si="49"/>
        <v>1.0458991091216443</v>
      </c>
      <c r="AC55" s="294">
        <f t="shared" si="50"/>
        <v>1.3008118742070827</v>
      </c>
      <c r="AD55" s="315">
        <f t="shared" si="51"/>
        <v>0.93044650574329091</v>
      </c>
      <c r="AE55" s="315">
        <f t="shared" si="52"/>
        <v>0.96708840265681206</v>
      </c>
      <c r="AF55" s="316">
        <f t="shared" si="53"/>
        <v>0.89753490840010297</v>
      </c>
      <c r="AG55" s="316">
        <f t="shared" si="54"/>
        <v>6.9553494256709092E-2</v>
      </c>
      <c r="AH55" s="316">
        <f t="shared" si="55"/>
        <v>3.2911597343187937E-2</v>
      </c>
      <c r="AI55" s="316">
        <f t="shared" si="56"/>
        <v>0.10246509159989703</v>
      </c>
      <c r="AJ55" s="294">
        <f t="shared" si="57"/>
        <v>-0.55000000000000004</v>
      </c>
      <c r="AK55" s="294">
        <f t="shared" si="58"/>
        <v>1.45</v>
      </c>
      <c r="AL55" s="294">
        <f t="shared" si="59"/>
        <v>0.44999999999999996</v>
      </c>
      <c r="AM55" s="313">
        <f t="shared" si="60"/>
        <v>0.44999999999999996</v>
      </c>
      <c r="AP55" s="314">
        <f t="shared" si="61"/>
        <v>0.69644387530495411</v>
      </c>
      <c r="AQ55" s="294">
        <f t="shared" si="62"/>
        <v>0.86618532783367597</v>
      </c>
      <c r="AR55" s="315">
        <f t="shared" si="63"/>
        <v>0.83766840757709982</v>
      </c>
      <c r="AS55" s="315">
        <f t="shared" si="64"/>
        <v>0.88970693358238329</v>
      </c>
      <c r="AT55" s="316">
        <f t="shared" si="65"/>
        <v>0.72737534115948321</v>
      </c>
      <c r="AU55" s="316">
        <f t="shared" si="66"/>
        <v>0.16233159242290018</v>
      </c>
      <c r="AV55" s="316">
        <f t="shared" si="66"/>
        <v>0.11029306641761671</v>
      </c>
      <c r="AW55" s="338">
        <f t="shared" si="66"/>
        <v>0.27262465884051679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48"/>
        <v>0.49999999999999994</v>
      </c>
      <c r="AB56" s="294">
        <f t="shared" si="49"/>
        <v>1.1733554916643634</v>
      </c>
      <c r="AC56" s="294">
        <f t="shared" si="50"/>
        <v>1.1733554916643634</v>
      </c>
      <c r="AD56" s="315">
        <f t="shared" si="51"/>
        <v>0.95147989978605207</v>
      </c>
      <c r="AE56" s="315">
        <f t="shared" si="52"/>
        <v>0.95147989978605207</v>
      </c>
      <c r="AF56" s="316">
        <f t="shared" si="53"/>
        <v>0.90295979957210415</v>
      </c>
      <c r="AG56" s="316">
        <f t="shared" si="54"/>
        <v>4.8520100213947925E-2</v>
      </c>
      <c r="AH56" s="316">
        <f t="shared" si="55"/>
        <v>4.8520100213947925E-2</v>
      </c>
      <c r="AI56" s="316">
        <f t="shared" si="56"/>
        <v>9.7040200427895851E-2</v>
      </c>
      <c r="AJ56" s="294">
        <f t="shared" si="57"/>
        <v>-0.5</v>
      </c>
      <c r="AK56" s="294">
        <f t="shared" si="58"/>
        <v>1.5</v>
      </c>
      <c r="AL56" s="294">
        <f t="shared" si="59"/>
        <v>0.49999999999999994</v>
      </c>
      <c r="AM56" s="313">
        <f t="shared" si="60"/>
        <v>0.49999999999999994</v>
      </c>
      <c r="AP56" s="314">
        <f t="shared" si="61"/>
        <v>0.78131460156931498</v>
      </c>
      <c r="AQ56" s="294">
        <f t="shared" si="62"/>
        <v>0.78131460156931509</v>
      </c>
      <c r="AR56" s="315">
        <f t="shared" si="63"/>
        <v>0.86540844204368772</v>
      </c>
      <c r="AS56" s="315">
        <f t="shared" si="64"/>
        <v>0.86540844204368783</v>
      </c>
      <c r="AT56" s="316">
        <f t="shared" si="65"/>
        <v>0.73081688408737566</v>
      </c>
      <c r="AU56" s="316">
        <f t="shared" si="66"/>
        <v>0.13459155795631228</v>
      </c>
      <c r="AV56" s="316">
        <f t="shared" si="66"/>
        <v>0.13459155795631217</v>
      </c>
      <c r="AW56" s="338">
        <f t="shared" si="66"/>
        <v>0.26918311591262434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48"/>
        <v>0.55431277368546106</v>
      </c>
      <c r="AB57" s="294">
        <f t="shared" si="49"/>
        <v>1.3008118742070824</v>
      </c>
      <c r="AC57" s="294">
        <f t="shared" si="50"/>
        <v>1.0458991091216445</v>
      </c>
      <c r="AD57" s="315">
        <f t="shared" si="51"/>
        <v>0.96708840265681206</v>
      </c>
      <c r="AE57" s="315">
        <f t="shared" si="52"/>
        <v>0.93044650574329091</v>
      </c>
      <c r="AF57" s="316">
        <f t="shared" si="53"/>
        <v>0.89753490840010297</v>
      </c>
      <c r="AG57" s="316">
        <f t="shared" si="54"/>
        <v>3.2911597343187937E-2</v>
      </c>
      <c r="AH57" s="316">
        <f t="shared" si="55"/>
        <v>6.9553494256709092E-2</v>
      </c>
      <c r="AI57" s="316">
        <f t="shared" si="56"/>
        <v>0.10246509159989703</v>
      </c>
      <c r="AJ57" s="294">
        <f t="shared" si="57"/>
        <v>-0.45000000000000007</v>
      </c>
      <c r="AK57" s="294">
        <f t="shared" si="58"/>
        <v>1.5499999999999998</v>
      </c>
      <c r="AL57" s="294">
        <f t="shared" si="59"/>
        <v>0.54999999999999993</v>
      </c>
      <c r="AM57" s="313">
        <f t="shared" si="60"/>
        <v>0.54999999999999993</v>
      </c>
      <c r="AP57" s="314">
        <f t="shared" si="61"/>
        <v>0.86618532783367586</v>
      </c>
      <c r="AQ57" s="294">
        <f t="shared" si="62"/>
        <v>0.69644387530495422</v>
      </c>
      <c r="AR57" s="315">
        <f t="shared" si="63"/>
        <v>0.88970693358238329</v>
      </c>
      <c r="AS57" s="315">
        <f t="shared" si="64"/>
        <v>0.83766840757709982</v>
      </c>
      <c r="AT57" s="316">
        <f t="shared" si="65"/>
        <v>0.72737534115948321</v>
      </c>
      <c r="AU57" s="316">
        <f t="shared" si="66"/>
        <v>0.11029306641761671</v>
      </c>
      <c r="AV57" s="316">
        <f t="shared" si="66"/>
        <v>0.16233159242290018</v>
      </c>
      <c r="AW57" s="338">
        <f t="shared" si="66"/>
        <v>0.27262465884051679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48"/>
        <v>0.60862554737092223</v>
      </c>
      <c r="AB58" s="294">
        <f t="shared" si="49"/>
        <v>1.4282682567498015</v>
      </c>
      <c r="AC58" s="294">
        <f t="shared" si="50"/>
        <v>0.91844272657892534</v>
      </c>
      <c r="AD58" s="315">
        <f t="shared" si="51"/>
        <v>0.97830189195039841</v>
      </c>
      <c r="AE58" s="315">
        <f t="shared" si="52"/>
        <v>0.90300644061531909</v>
      </c>
      <c r="AF58" s="316">
        <f t="shared" si="53"/>
        <v>0.88130833256571739</v>
      </c>
      <c r="AG58" s="316">
        <f t="shared" si="54"/>
        <v>2.1698108049601594E-2</v>
      </c>
      <c r="AH58" s="316">
        <f t="shared" si="55"/>
        <v>9.6993559384680905E-2</v>
      </c>
      <c r="AI58" s="316">
        <f t="shared" si="56"/>
        <v>0.11869166743428261</v>
      </c>
      <c r="AJ58" s="294">
        <f t="shared" si="57"/>
        <v>-0.4</v>
      </c>
      <c r="AK58" s="294">
        <f t="shared" si="58"/>
        <v>1.6</v>
      </c>
      <c r="AL58" s="294">
        <f t="shared" si="59"/>
        <v>0.6</v>
      </c>
      <c r="AM58" s="313">
        <f t="shared" si="60"/>
        <v>0.6</v>
      </c>
      <c r="AP58" s="314">
        <f t="shared" si="61"/>
        <v>0.95105605409803673</v>
      </c>
      <c r="AQ58" s="294">
        <f t="shared" si="62"/>
        <v>0.61157314904059334</v>
      </c>
      <c r="AR58" s="315">
        <f t="shared" si="63"/>
        <v>0.91068679663260721</v>
      </c>
      <c r="AS58" s="315">
        <f t="shared" si="64"/>
        <v>0.80645180037701925</v>
      </c>
      <c r="AT58" s="316">
        <f t="shared" si="65"/>
        <v>0.71713859700962646</v>
      </c>
      <c r="AU58" s="316">
        <f t="shared" si="66"/>
        <v>8.9313203367392791E-2</v>
      </c>
      <c r="AV58" s="316">
        <f t="shared" si="66"/>
        <v>0.19354819962298075</v>
      </c>
      <c r="AW58" s="338">
        <f t="shared" si="66"/>
        <v>0.28286140299037354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48"/>
        <v>0.66293832105638351</v>
      </c>
      <c r="AB59" s="294">
        <f t="shared" si="49"/>
        <v>1.555724639292521</v>
      </c>
      <c r="AC59" s="294">
        <f t="shared" si="50"/>
        <v>0.79098634403620594</v>
      </c>
      <c r="AD59" s="315">
        <f t="shared" si="51"/>
        <v>0.9861010530238361</v>
      </c>
      <c r="AE59" s="315">
        <f t="shared" si="52"/>
        <v>0.86834962779732705</v>
      </c>
      <c r="AF59" s="316">
        <f t="shared" si="53"/>
        <v>0.85445068082116316</v>
      </c>
      <c r="AG59" s="316">
        <f t="shared" si="54"/>
        <v>1.3898946976163895E-2</v>
      </c>
      <c r="AH59" s="316">
        <f t="shared" si="55"/>
        <v>0.13165037220267295</v>
      </c>
      <c r="AI59" s="316">
        <f t="shared" si="56"/>
        <v>0.14554931917883684</v>
      </c>
      <c r="AJ59" s="294">
        <f t="shared" si="57"/>
        <v>-0.35</v>
      </c>
      <c r="AK59" s="294">
        <f t="shared" si="58"/>
        <v>1.65</v>
      </c>
      <c r="AL59" s="294">
        <f t="shared" si="59"/>
        <v>0.65</v>
      </c>
      <c r="AM59" s="313">
        <f t="shared" si="60"/>
        <v>0.65</v>
      </c>
      <c r="AP59" s="314">
        <f t="shared" si="61"/>
        <v>1.0359267803623979</v>
      </c>
      <c r="AQ59" s="294">
        <f t="shared" si="62"/>
        <v>0.52670242277623225</v>
      </c>
      <c r="AR59" s="315">
        <f t="shared" si="63"/>
        <v>0.92854250161803809</v>
      </c>
      <c r="AS59" s="315">
        <f t="shared" si="64"/>
        <v>0.77182475592138222</v>
      </c>
      <c r="AT59" s="316">
        <f t="shared" si="65"/>
        <v>0.70036725753942042</v>
      </c>
      <c r="AU59" s="316">
        <f t="shared" si="66"/>
        <v>7.1457498381961915E-2</v>
      </c>
      <c r="AV59" s="316">
        <f t="shared" si="66"/>
        <v>0.22817524407861778</v>
      </c>
      <c r="AW59" s="338">
        <f t="shared" si="66"/>
        <v>0.29963274246057958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48"/>
        <v>0.71725109474184467</v>
      </c>
      <c r="AB60" s="294">
        <f t="shared" si="49"/>
        <v>1.6831810218352403</v>
      </c>
      <c r="AC60" s="294">
        <f t="shared" si="50"/>
        <v>0.66352996149348675</v>
      </c>
      <c r="AD60" s="315">
        <f t="shared" si="51"/>
        <v>0.9913525431726149</v>
      </c>
      <c r="AE60" s="315">
        <f t="shared" si="52"/>
        <v>0.82597363992870632</v>
      </c>
      <c r="AF60" s="316">
        <f t="shared" si="53"/>
        <v>0.81732618310132121</v>
      </c>
      <c r="AG60" s="316">
        <f t="shared" si="54"/>
        <v>8.6474568273851027E-3</v>
      </c>
      <c r="AH60" s="316">
        <f t="shared" si="55"/>
        <v>0.17402636007129368</v>
      </c>
      <c r="AI60" s="316">
        <f t="shared" si="56"/>
        <v>0.18267381689867879</v>
      </c>
      <c r="AJ60" s="294">
        <f t="shared" si="57"/>
        <v>-0.29999999999999993</v>
      </c>
      <c r="AK60" s="294">
        <f t="shared" si="58"/>
        <v>1.7000000000000002</v>
      </c>
      <c r="AL60" s="294">
        <f t="shared" si="59"/>
        <v>0.70000000000000007</v>
      </c>
      <c r="AM60" s="313">
        <f t="shared" si="60"/>
        <v>0.70000000000000007</v>
      </c>
      <c r="AP60" s="314">
        <f t="shared" si="61"/>
        <v>1.1207975066267588</v>
      </c>
      <c r="AQ60" s="294">
        <f t="shared" si="62"/>
        <v>0.44183169651187126</v>
      </c>
      <c r="AR60" s="315">
        <f t="shared" si="63"/>
        <v>0.94352217590179932</v>
      </c>
      <c r="AS60" s="315">
        <f t="shared" si="64"/>
        <v>0.73396339923533094</v>
      </c>
      <c r="AT60" s="316">
        <f t="shared" si="65"/>
        <v>0.67748557513713026</v>
      </c>
      <c r="AU60" s="316">
        <f t="shared" si="66"/>
        <v>5.647782409820068E-2</v>
      </c>
      <c r="AV60" s="316">
        <f t="shared" si="66"/>
        <v>0.26603660076466906</v>
      </c>
      <c r="AW60" s="338">
        <f t="shared" si="66"/>
        <v>0.32251442486286974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48"/>
        <v>0.77156386842730584</v>
      </c>
      <c r="AB61" s="294">
        <f t="shared" si="49"/>
        <v>1.8106374043779592</v>
      </c>
      <c r="AC61" s="294">
        <f t="shared" si="50"/>
        <v>0.53607357895076746</v>
      </c>
      <c r="AD61" s="315">
        <f t="shared" si="51"/>
        <v>0.99477584128292373</v>
      </c>
      <c r="AE61" s="315">
        <f t="shared" si="52"/>
        <v>0.77581118213633016</v>
      </c>
      <c r="AF61" s="316">
        <f t="shared" si="53"/>
        <v>0.770587023419254</v>
      </c>
      <c r="AG61" s="316">
        <f t="shared" si="54"/>
        <v>5.224158717076266E-3</v>
      </c>
      <c r="AH61" s="316">
        <f t="shared" si="55"/>
        <v>0.22418881786366984</v>
      </c>
      <c r="AI61" s="316">
        <f t="shared" si="56"/>
        <v>0.229412976580746</v>
      </c>
      <c r="AJ61" s="294">
        <f t="shared" si="57"/>
        <v>-0.24999999999999989</v>
      </c>
      <c r="AK61" s="294">
        <f t="shared" si="58"/>
        <v>1.75</v>
      </c>
      <c r="AL61" s="294">
        <f t="shared" si="59"/>
        <v>0.75000000000000011</v>
      </c>
      <c r="AM61" s="313">
        <f t="shared" si="60"/>
        <v>0.75000000000000011</v>
      </c>
      <c r="AP61" s="314">
        <f t="shared" si="61"/>
        <v>1.2056682328911197</v>
      </c>
      <c r="AQ61" s="294">
        <f t="shared" si="62"/>
        <v>0.35696097024751033</v>
      </c>
      <c r="AR61" s="315">
        <f t="shared" si="63"/>
        <v>0.95590953570162362</v>
      </c>
      <c r="AS61" s="315">
        <f t="shared" si="64"/>
        <v>0.69315703111909832</v>
      </c>
      <c r="AT61" s="316">
        <f t="shared" si="65"/>
        <v>0.64906656682072184</v>
      </c>
      <c r="AU61" s="316">
        <f t="shared" si="66"/>
        <v>4.4090464298376375E-2</v>
      </c>
      <c r="AV61" s="316">
        <f t="shared" si="66"/>
        <v>0.30684296888090168</v>
      </c>
      <c r="AW61" s="338">
        <f t="shared" si="66"/>
        <v>0.35093343317927816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48"/>
        <v>0.82587664211276701</v>
      </c>
      <c r="AB62" s="294">
        <f t="shared" si="49"/>
        <v>1.9380937869206785</v>
      </c>
      <c r="AC62" s="294">
        <f t="shared" si="50"/>
        <v>0.40861719640804839</v>
      </c>
      <c r="AD62" s="315">
        <f t="shared" si="51"/>
        <v>0.99693624210125376</v>
      </c>
      <c r="AE62" s="315">
        <f t="shared" si="52"/>
        <v>0.71832472332415098</v>
      </c>
      <c r="AF62" s="316">
        <f t="shared" si="53"/>
        <v>0.71526096542540474</v>
      </c>
      <c r="AG62" s="316">
        <f t="shared" si="54"/>
        <v>3.0637578987462444E-3</v>
      </c>
      <c r="AH62" s="316">
        <f t="shared" si="55"/>
        <v>0.28167527667584902</v>
      </c>
      <c r="AI62" s="316">
        <f t="shared" si="56"/>
        <v>0.28473903457459526</v>
      </c>
      <c r="AJ62" s="294">
        <f t="shared" si="57"/>
        <v>-0.19999999999999984</v>
      </c>
      <c r="AK62" s="294">
        <f t="shared" si="58"/>
        <v>1.8000000000000003</v>
      </c>
      <c r="AL62" s="294">
        <f t="shared" si="59"/>
        <v>0.80000000000000016</v>
      </c>
      <c r="AM62" s="313">
        <f t="shared" si="60"/>
        <v>0.80000000000000016</v>
      </c>
      <c r="AP62" s="314">
        <f t="shared" si="61"/>
        <v>1.2905389591554806</v>
      </c>
      <c r="AQ62" s="294">
        <f t="shared" si="62"/>
        <v>0.2720902439831494</v>
      </c>
      <c r="AR62" s="315">
        <f t="shared" si="63"/>
        <v>0.96600685629920491</v>
      </c>
      <c r="AS62" s="315">
        <f t="shared" si="64"/>
        <v>0.64980487135478504</v>
      </c>
      <c r="AT62" s="316">
        <f t="shared" si="65"/>
        <v>0.61581172765398984</v>
      </c>
      <c r="AU62" s="316">
        <f t="shared" si="66"/>
        <v>3.3993143700795092E-2</v>
      </c>
      <c r="AV62" s="316">
        <f t="shared" si="66"/>
        <v>0.35019512864521496</v>
      </c>
      <c r="AW62" s="338">
        <f t="shared" si="66"/>
        <v>0.38418827234601016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48"/>
        <v>0.88018941579822818</v>
      </c>
      <c r="AB63" s="294">
        <f t="shared" si="49"/>
        <v>2.0655501694633975</v>
      </c>
      <c r="AC63" s="294">
        <f t="shared" si="50"/>
        <v>0.28116081386532921</v>
      </c>
      <c r="AD63" s="315">
        <f t="shared" si="51"/>
        <v>0.99825617343070294</v>
      </c>
      <c r="AE63" s="315">
        <f t="shared" si="52"/>
        <v>0.65454537156906523</v>
      </c>
      <c r="AF63" s="316">
        <f t="shared" si="53"/>
        <v>0.65280154499976817</v>
      </c>
      <c r="AG63" s="316">
        <f t="shared" si="54"/>
        <v>1.7438265692970578E-3</v>
      </c>
      <c r="AH63" s="316">
        <f t="shared" si="55"/>
        <v>0.34545462843093477</v>
      </c>
      <c r="AI63" s="316">
        <f t="shared" si="56"/>
        <v>0.34719845500023183</v>
      </c>
      <c r="AJ63" s="294">
        <f t="shared" si="57"/>
        <v>-0.1499999999999998</v>
      </c>
      <c r="AK63" s="294">
        <f t="shared" si="58"/>
        <v>1.85</v>
      </c>
      <c r="AL63" s="294">
        <f t="shared" si="59"/>
        <v>0.8500000000000002</v>
      </c>
      <c r="AM63" s="313">
        <f t="shared" si="60"/>
        <v>0.8500000000000002</v>
      </c>
      <c r="AP63" s="314">
        <f t="shared" si="61"/>
        <v>1.3754096854198417</v>
      </c>
      <c r="AQ63" s="294">
        <f t="shared" si="62"/>
        <v>0.18721951771878845</v>
      </c>
      <c r="AR63" s="315">
        <f t="shared" si="63"/>
        <v>0.97411991369611317</v>
      </c>
      <c r="AS63" s="315">
        <f t="shared" si="64"/>
        <v>0.60440605196795039</v>
      </c>
      <c r="AT63" s="316">
        <f t="shared" si="65"/>
        <v>0.57852596566406356</v>
      </c>
      <c r="AU63" s="316">
        <f t="shared" si="66"/>
        <v>2.5880086303886829E-2</v>
      </c>
      <c r="AV63" s="316">
        <f t="shared" si="66"/>
        <v>0.39559394803204961</v>
      </c>
      <c r="AW63" s="338">
        <f t="shared" si="66"/>
        <v>0.42147403433593644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48"/>
        <v>0.93450218948368946</v>
      </c>
      <c r="AB64" s="294">
        <f t="shared" si="49"/>
        <v>2.1930065520061173</v>
      </c>
      <c r="AC64" s="294">
        <f t="shared" si="50"/>
        <v>0.15370443132260975</v>
      </c>
      <c r="AD64" s="315">
        <f t="shared" si="51"/>
        <v>0.99903689409191743</v>
      </c>
      <c r="AE64" s="315">
        <f t="shared" si="52"/>
        <v>0.58604034290888674</v>
      </c>
      <c r="AF64" s="316">
        <f t="shared" si="53"/>
        <v>0.58507723700080416</v>
      </c>
      <c r="AG64" s="316">
        <f t="shared" si="54"/>
        <v>9.6310590808257324E-4</v>
      </c>
      <c r="AH64" s="316">
        <f t="shared" si="55"/>
        <v>0.41395965709111326</v>
      </c>
      <c r="AI64" s="316">
        <f t="shared" si="56"/>
        <v>0.41492276299919584</v>
      </c>
      <c r="AJ64" s="294">
        <f t="shared" si="57"/>
        <v>-9.9999999999999756E-2</v>
      </c>
      <c r="AK64" s="294">
        <f t="shared" si="58"/>
        <v>1.9000000000000004</v>
      </c>
      <c r="AL64" s="294">
        <f t="shared" si="59"/>
        <v>0.90000000000000024</v>
      </c>
      <c r="AM64" s="313">
        <f t="shared" si="60"/>
        <v>0.90000000000000024</v>
      </c>
      <c r="AP64" s="314">
        <f t="shared" si="61"/>
        <v>1.4602804116842028</v>
      </c>
      <c r="AQ64" s="294">
        <f t="shared" si="62"/>
        <v>0.10234879145442732</v>
      </c>
      <c r="AR64" s="315">
        <f t="shared" si="63"/>
        <v>0.98054551771220899</v>
      </c>
      <c r="AS64" s="315">
        <f t="shared" si="64"/>
        <v>0.55754312556296814</v>
      </c>
      <c r="AT64" s="316">
        <f t="shared" si="65"/>
        <v>0.53808864327517725</v>
      </c>
      <c r="AU64" s="316">
        <f t="shared" si="66"/>
        <v>1.9454482287791008E-2</v>
      </c>
      <c r="AV64" s="316">
        <f t="shared" si="66"/>
        <v>0.44245687443703186</v>
      </c>
      <c r="AW64" s="338">
        <f t="shared" si="66"/>
        <v>0.46191135672482275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48"/>
        <v>0.98881496316915063</v>
      </c>
      <c r="AB65" s="294">
        <f t="shared" si="49"/>
        <v>2.3204629345488366</v>
      </c>
      <c r="AC65" s="294">
        <f t="shared" si="50"/>
        <v>2.6248048779890554E-2</v>
      </c>
      <c r="AD65" s="315">
        <f t="shared" si="51"/>
        <v>0.99948395559716285</v>
      </c>
      <c r="AE65" s="315">
        <f t="shared" si="52"/>
        <v>0.51480547550488998</v>
      </c>
      <c r="AF65" s="316">
        <f t="shared" si="53"/>
        <v>0.51428943110205294</v>
      </c>
      <c r="AG65" s="316">
        <f t="shared" si="54"/>
        <v>5.1604440283714581E-4</v>
      </c>
      <c r="AH65" s="316">
        <f t="shared" si="55"/>
        <v>0.48519452449511002</v>
      </c>
      <c r="AI65" s="316">
        <f t="shared" si="56"/>
        <v>0.48571056889794706</v>
      </c>
      <c r="AJ65" s="294">
        <f t="shared" si="57"/>
        <v>-4.9999999999999711E-2</v>
      </c>
      <c r="AK65" s="294">
        <f t="shared" si="58"/>
        <v>1.9500000000000002</v>
      </c>
      <c r="AL65" s="294">
        <f t="shared" si="59"/>
        <v>0.95000000000000029</v>
      </c>
      <c r="AM65" s="313">
        <f t="shared" si="60"/>
        <v>0.95000000000000029</v>
      </c>
      <c r="AP65" s="314">
        <f t="shared" si="61"/>
        <v>1.5451511379485636</v>
      </c>
      <c r="AQ65" s="294">
        <f t="shared" si="62"/>
        <v>1.747806519006638E-2</v>
      </c>
      <c r="AR65" s="315">
        <f t="shared" si="63"/>
        <v>0.98556194327719182</v>
      </c>
      <c r="AS65" s="315">
        <f t="shared" si="64"/>
        <v>0.5098599382968515</v>
      </c>
      <c r="AT65" s="316">
        <f t="shared" si="65"/>
        <v>0.49542188157404343</v>
      </c>
      <c r="AU65" s="316">
        <f t="shared" si="66"/>
        <v>1.4438056722808179E-2</v>
      </c>
      <c r="AV65" s="316">
        <f t="shared" si="66"/>
        <v>0.4901400617031485</v>
      </c>
      <c r="AW65" s="338">
        <f t="shared" si="66"/>
        <v>0.50457811842595657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48"/>
        <v>1.0431277368546117</v>
      </c>
      <c r="AB66" s="294">
        <f t="shared" si="49"/>
        <v>2.4479193170915554</v>
      </c>
      <c r="AC66" s="294">
        <f t="shared" si="50"/>
        <v>-0.10120833376282837</v>
      </c>
      <c r="AD66" s="315">
        <f t="shared" si="51"/>
        <v>0.99973179256066125</v>
      </c>
      <c r="AE66" s="315">
        <f t="shared" si="52"/>
        <v>0.44309367786638182</v>
      </c>
      <c r="AF66" s="316">
        <f t="shared" si="53"/>
        <v>0.44282547042704312</v>
      </c>
      <c r="AG66" s="316">
        <f t="shared" si="54"/>
        <v>2.6820743933875235E-4</v>
      </c>
      <c r="AH66" s="316">
        <f t="shared" si="55"/>
        <v>0.55690632213361813</v>
      </c>
      <c r="AI66" s="316">
        <f t="shared" si="56"/>
        <v>0.55717452957295688</v>
      </c>
      <c r="AJ66" s="294">
        <f t="shared" si="57"/>
        <v>0</v>
      </c>
      <c r="AK66" s="294">
        <f t="shared" si="58"/>
        <v>2</v>
      </c>
      <c r="AL66" s="294">
        <f t="shared" si="59"/>
        <v>1.0000000000000002</v>
      </c>
      <c r="AM66" s="313">
        <f t="shared" si="60"/>
        <v>1.0000000000000002</v>
      </c>
      <c r="AP66" s="314">
        <f t="shared" si="61"/>
        <v>1.6300218642129245</v>
      </c>
      <c r="AQ66" s="294">
        <f t="shared" si="62"/>
        <v>-6.7392661074294383E-2</v>
      </c>
      <c r="AR66" s="315">
        <f t="shared" si="63"/>
        <v>0.98942228533549548</v>
      </c>
      <c r="AS66" s="315">
        <f t="shared" si="64"/>
        <v>0.46203524703007681</v>
      </c>
      <c r="AT66" s="316">
        <f t="shared" si="65"/>
        <v>0.45145753236557229</v>
      </c>
      <c r="AU66" s="316">
        <f t="shared" si="66"/>
        <v>1.0577714664504523E-2</v>
      </c>
      <c r="AV66" s="316">
        <f t="shared" si="66"/>
        <v>0.53796475296992319</v>
      </c>
      <c r="AW66" s="338">
        <f t="shared" si="66"/>
        <v>0.54854246763442771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48"/>
        <v>1.0974405105400729</v>
      </c>
      <c r="AB67" s="294">
        <f t="shared" si="49"/>
        <v>2.5753756996342747</v>
      </c>
      <c r="AC67" s="294">
        <f t="shared" si="50"/>
        <v>-0.22866471630554755</v>
      </c>
      <c r="AD67" s="315">
        <f t="shared" si="51"/>
        <v>0.99986480492457863</v>
      </c>
      <c r="AE67" s="315">
        <f t="shared" si="52"/>
        <v>0.37320345579029268</v>
      </c>
      <c r="AF67" s="316">
        <f t="shared" si="53"/>
        <v>0.37306826071487142</v>
      </c>
      <c r="AG67" s="316">
        <f t="shared" si="54"/>
        <v>1.3519507542136822E-4</v>
      </c>
      <c r="AH67" s="316">
        <f t="shared" si="55"/>
        <v>0.62679654420970732</v>
      </c>
      <c r="AI67" s="316">
        <f t="shared" si="56"/>
        <v>0.62693173928512858</v>
      </c>
      <c r="AJ67" s="294">
        <f t="shared" si="57"/>
        <v>5.0000000000000266E-2</v>
      </c>
      <c r="AK67" s="294">
        <f t="shared" si="58"/>
        <v>2.0500000000000003</v>
      </c>
      <c r="AL67" s="294">
        <f t="shared" si="59"/>
        <v>1.0500000000000003</v>
      </c>
      <c r="AM67" s="313">
        <f t="shared" si="60"/>
        <v>1.0500000000000003</v>
      </c>
      <c r="AP67" s="314">
        <f t="shared" si="61"/>
        <v>1.7148925904772854</v>
      </c>
      <c r="AQ67" s="294">
        <f t="shared" si="62"/>
        <v>-0.15226338733865535</v>
      </c>
      <c r="AR67" s="315">
        <f t="shared" si="63"/>
        <v>0.99235053568266762</v>
      </c>
      <c r="AS67" s="315">
        <f t="shared" si="64"/>
        <v>0.41475387187581081</v>
      </c>
      <c r="AT67" s="316">
        <f t="shared" si="65"/>
        <v>0.40710440755847843</v>
      </c>
      <c r="AU67" s="316">
        <f t="shared" si="66"/>
        <v>7.6494643173323773E-3</v>
      </c>
      <c r="AV67" s="316">
        <f t="shared" si="66"/>
        <v>0.58524612812418919</v>
      </c>
      <c r="AW67" s="338">
        <f t="shared" si="66"/>
        <v>0.59289559244152157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48"/>
        <v>1.151753284225534</v>
      </c>
      <c r="AB68" s="294">
        <f t="shared" si="49"/>
        <v>2.7028320821769936</v>
      </c>
      <c r="AC68" s="294">
        <f t="shared" si="50"/>
        <v>-0.3561210988482667</v>
      </c>
      <c r="AD68" s="315">
        <f t="shared" si="51"/>
        <v>0.99993391557788747</v>
      </c>
      <c r="AE68" s="315">
        <f t="shared" si="52"/>
        <v>0.30726025089578557</v>
      </c>
      <c r="AF68" s="316">
        <f t="shared" si="53"/>
        <v>0.30719416647367304</v>
      </c>
      <c r="AG68" s="316">
        <f t="shared" si="54"/>
        <v>6.6084422112533403E-5</v>
      </c>
      <c r="AH68" s="316">
        <f t="shared" si="55"/>
        <v>0.69273974910421443</v>
      </c>
      <c r="AI68" s="316">
        <f t="shared" si="56"/>
        <v>0.69280583352632696</v>
      </c>
      <c r="AJ68" s="294">
        <f t="shared" si="57"/>
        <v>0.10000000000000031</v>
      </c>
      <c r="AK68" s="294">
        <f t="shared" si="58"/>
        <v>2.1000000000000005</v>
      </c>
      <c r="AL68" s="294">
        <f t="shared" si="59"/>
        <v>1.1000000000000003</v>
      </c>
      <c r="AM68" s="313">
        <f t="shared" si="60"/>
        <v>1.1000000000000003</v>
      </c>
      <c r="AP68" s="314">
        <f t="shared" si="61"/>
        <v>1.7997633167416465</v>
      </c>
      <c r="AQ68" s="294">
        <f t="shared" si="62"/>
        <v>-0.23713411360301626</v>
      </c>
      <c r="AR68" s="315">
        <f t="shared" si="63"/>
        <v>0.99454001886877774</v>
      </c>
      <c r="AS68" s="315">
        <f t="shared" si="64"/>
        <v>0.36867741780743901</v>
      </c>
      <c r="AT68" s="316">
        <f t="shared" si="65"/>
        <v>0.36321743667621664</v>
      </c>
      <c r="AU68" s="316">
        <f t="shared" si="66"/>
        <v>5.4599811312222579E-3</v>
      </c>
      <c r="AV68" s="316">
        <f t="shared" si="66"/>
        <v>0.63132258219256099</v>
      </c>
      <c r="AW68" s="338">
        <f t="shared" si="66"/>
        <v>0.63678256332378336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48"/>
        <v>1.2060660579109954</v>
      </c>
      <c r="AB69" s="294">
        <f t="shared" si="49"/>
        <v>2.8302884647197137</v>
      </c>
      <c r="AC69" s="294">
        <f t="shared" si="50"/>
        <v>-0.48357748139098644</v>
      </c>
      <c r="AD69" s="315">
        <f t="shared" si="51"/>
        <v>0.99996867919520727</v>
      </c>
      <c r="AE69" s="315">
        <f t="shared" si="52"/>
        <v>0.24702489343520301</v>
      </c>
      <c r="AF69" s="316">
        <f t="shared" si="53"/>
        <v>0.24699357263041022</v>
      </c>
      <c r="AG69" s="316">
        <f t="shared" si="54"/>
        <v>3.1320804792733803E-5</v>
      </c>
      <c r="AH69" s="316">
        <f t="shared" si="55"/>
        <v>0.75297510656479694</v>
      </c>
      <c r="AI69" s="316">
        <f t="shared" si="56"/>
        <v>0.75300642736958978</v>
      </c>
      <c r="AJ69" s="294">
        <f t="shared" si="57"/>
        <v>0.15000000000000036</v>
      </c>
      <c r="AK69" s="294">
        <f t="shared" si="58"/>
        <v>2.1500000000000004</v>
      </c>
      <c r="AL69" s="294">
        <f t="shared" si="59"/>
        <v>1.1500000000000004</v>
      </c>
      <c r="AM69" s="313">
        <f t="shared" si="60"/>
        <v>1.1500000000000004</v>
      </c>
      <c r="AP69" s="339">
        <f t="shared" si="61"/>
        <v>1.8846340430060078</v>
      </c>
      <c r="AQ69" s="319">
        <f t="shared" si="62"/>
        <v>-0.32200483986737755</v>
      </c>
      <c r="AR69" s="320">
        <f t="shared" si="63"/>
        <v>0.99615373083062186</v>
      </c>
      <c r="AS69" s="320">
        <f t="shared" si="64"/>
        <v>0.32441664166115847</v>
      </c>
      <c r="AT69" s="321">
        <f t="shared" si="65"/>
        <v>0.32057037249178033</v>
      </c>
      <c r="AU69" s="321">
        <f t="shared" si="66"/>
        <v>3.8462691693781359E-3</v>
      </c>
      <c r="AV69" s="321">
        <f t="shared" si="66"/>
        <v>0.67558335833884153</v>
      </c>
      <c r="AW69" s="340">
        <f t="shared" si="66"/>
        <v>0.67942962750821967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48"/>
        <v>1.2603788315964564</v>
      </c>
      <c r="AB70" s="294">
        <f t="shared" si="49"/>
        <v>2.9577448472624321</v>
      </c>
      <c r="AC70" s="294">
        <f t="shared" si="50"/>
        <v>-0.61103386393370507</v>
      </c>
      <c r="AD70" s="315">
        <f t="shared" si="51"/>
        <v>0.99998560821513183</v>
      </c>
      <c r="AE70" s="315">
        <f t="shared" si="52"/>
        <v>0.19375758730262427</v>
      </c>
      <c r="AF70" s="316">
        <f t="shared" si="53"/>
        <v>0.19374319551775621</v>
      </c>
      <c r="AG70" s="316">
        <f t="shared" si="54"/>
        <v>1.4391784868172941E-5</v>
      </c>
      <c r="AH70" s="316">
        <f t="shared" si="55"/>
        <v>0.80624241269737573</v>
      </c>
      <c r="AI70" s="316">
        <f t="shared" si="56"/>
        <v>0.80625680448224379</v>
      </c>
      <c r="AJ70" s="294">
        <f t="shared" si="57"/>
        <v>0.2000000000000004</v>
      </c>
      <c r="AK70" s="294">
        <f t="shared" si="58"/>
        <v>2.2000000000000002</v>
      </c>
      <c r="AL70" s="294">
        <f t="shared" si="59"/>
        <v>1.2000000000000004</v>
      </c>
      <c r="AM70" s="313">
        <f t="shared" si="60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48"/>
        <v>1.3146916052819178</v>
      </c>
      <c r="AB71" s="319">
        <f t="shared" si="49"/>
        <v>3.0852012298051519</v>
      </c>
      <c r="AC71" s="319">
        <f t="shared" si="50"/>
        <v>-0.73849024647642481</v>
      </c>
      <c r="AD71" s="320">
        <f t="shared" si="51"/>
        <v>0.99999358936524896</v>
      </c>
      <c r="AE71" s="320">
        <f t="shared" si="52"/>
        <v>0.1481541308099541</v>
      </c>
      <c r="AF71" s="321">
        <f t="shared" si="53"/>
        <v>0.14814772017520306</v>
      </c>
      <c r="AG71" s="321">
        <f t="shared" si="54"/>
        <v>6.410634751041755E-6</v>
      </c>
      <c r="AH71" s="321">
        <f t="shared" si="55"/>
        <v>0.8518458691900459</v>
      </c>
      <c r="AI71" s="321">
        <f t="shared" si="56"/>
        <v>0.85185227982479694</v>
      </c>
      <c r="AJ71" s="319">
        <f t="shared" si="57"/>
        <v>0.25000000000000044</v>
      </c>
      <c r="AK71" s="319">
        <f t="shared" si="58"/>
        <v>2.2500000000000004</v>
      </c>
      <c r="AL71" s="319">
        <f t="shared" si="59"/>
        <v>1.2500000000000004</v>
      </c>
      <c r="AM71" s="322">
        <f t="shared" si="60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showOutlineSymbols="0" topLeftCell="A22" zoomScale="70" zoomScaleNormal="70" workbookViewId="0">
      <selection activeCell="Z41" sqref="Z4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0" t="str">
        <f>Notes!A1</f>
        <v>10GEPBud3_1_16a.xls</v>
      </c>
      <c r="S1" s="481"/>
      <c r="T1" s="481"/>
      <c r="U1" s="481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1.1736115333089561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4" t="s">
        <v>1</v>
      </c>
      <c r="J2" s="482" t="s">
        <v>268</v>
      </c>
      <c r="K2" s="482"/>
      <c r="L2" s="483" t="s">
        <v>269</v>
      </c>
      <c r="M2" s="484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1.1736115333089561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370">
        <v>8.2000000000000003E-2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0.70313667907645172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2.0284566171525706</v>
      </c>
      <c r="AH3" s="21" t="s">
        <v>30</v>
      </c>
      <c r="AI3" s="86"/>
      <c r="AJ3" s="127" t="s">
        <v>305</v>
      </c>
      <c r="AK3" s="394">
        <f>ERF(AK1)+ERF(AK2)-1</f>
        <v>0.80606539479353789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371">
        <v>5.1999999999999998E-2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0.082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0.99587799501177043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0.80606539479353789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3.0000000000000001E-3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0.97478106476731163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7.5942935171890622E-4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7.6999999999999993</v>
      </c>
      <c r="H7" s="287" t="str">
        <f>IF(G9&lt;0,"should not be &lt; DCD!","ps inc. DCD")</f>
        <v>ps inc. DCD</v>
      </c>
      <c r="I7" s="7"/>
      <c r="J7" s="7"/>
      <c r="K7" s="369" t="s">
        <v>297</v>
      </c>
      <c r="L7" s="285">
        <f>1.5+0.57</f>
        <v>2.0699999999999998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9.7-2</f>
        <v>7.6999999999999993</v>
      </c>
      <c r="H8" s="313" t="s">
        <v>363</v>
      </c>
      <c r="I8" s="7"/>
      <c r="J8" s="7"/>
      <c r="K8" s="25" t="s">
        <v>29</v>
      </c>
      <c r="L8" s="8">
        <f>$L$6-$L$7</f>
        <v>5.23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68.926036308349637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1.4285799237219814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0.69334168059333567</v>
      </c>
      <c r="H11" s="109"/>
      <c r="I11" s="7"/>
      <c r="J11" s="7"/>
      <c r="K11" s="129" t="s">
        <v>142</v>
      </c>
      <c r="L11" s="10">
        <f>1/((1/$C$4)-$G$8*10^-6)</f>
        <v>11202.009572626361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3.4733869029826514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0.91864314289593052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89.26969696969698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0.76275964217859427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0.21725109474184448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7.1906150435313121E-2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2.0772451902384788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250000</v>
      </c>
      <c r="H17" s="46">
        <f t="shared" ref="H17:H38" si="6">SQRT((1000*C_1/F17)^2+(1000*C_1/G17)^2+$G$3^2)</f>
        <v>53.164970015372788</v>
      </c>
      <c r="I17" s="46">
        <f t="shared" ref="I17:I38" si="7">SQRT(H17^2+$T$7^2)</f>
        <v>66.4592488628697</v>
      </c>
      <c r="J17" s="424">
        <f t="shared" ref="J17:J38" si="8">-10*LOG10(2*Z17 - 1)</f>
        <v>0.8111945387483499</v>
      </c>
      <c r="K17" s="251">
        <f t="shared" ref="K17:K38" si="9">-10*LOG10(AB17)-J17</f>
        <v>0.23459149273036295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-2.4024525495086953E-3</v>
      </c>
      <c r="P17" s="44">
        <f t="shared" ref="P17:P38" si="13">($G$10/SQRT(2))*(1-EXP(-1*O17^2))</f>
        <v>1.224375529176309E-6</v>
      </c>
      <c r="Q17" s="44">
        <f t="shared" ref="Q17:Q38" si="14">10*LOG10(1/SQRT(1-(Q*P17)^2))</f>
        <v>1.6119794363352241E-10</v>
      </c>
      <c r="R17" s="265"/>
      <c r="S17" s="44">
        <f>-10*LOG10(SQRT(1-Q*Q*(((SD_blw/AC17)^2)+AK17+Vmn+(P17*P17))))-$T$13-Q17-R17-Pmn</f>
        <v>5.6731135445036995E-2</v>
      </c>
      <c r="T17" s="209">
        <f>J17+L17+B17+Q17+S17+Pmn</f>
        <v>1.1751708645930641</v>
      </c>
      <c r="U17" s="277">
        <f>J17+K17+B17+Q17+S17+Pmn+M17</f>
        <v>1.409762357323427</v>
      </c>
      <c r="V17" s="178">
        <f t="shared" ref="V17:V38" si="15">T17-B17</f>
        <v>1.1679256743545849</v>
      </c>
      <c r="W17" s="179">
        <f t="shared" ref="W17:W38" si="16">$L$8-T17</f>
        <v>4.0548291354069361</v>
      </c>
      <c r="X17" s="455">
        <f t="shared" ref="X17:X38" si="17">$C$8-C17-(Q17+N17+R17+S17/2+Pmn) -$W$3</f>
        <v>-6.908747437198647</v>
      </c>
      <c r="Y17" s="47">
        <f t="shared" ref="Y17:Y38" si="18">B_1*Tb_eff/(SQRT(8)*I17)</f>
        <v>1.2171728170395406</v>
      </c>
      <c r="Z17" s="49">
        <f t="shared" ref="Z17:Z38" si="19">IF(ABS(Y17)&lt;10,SIGN(Y17)*ERF(ABS(Y17)),SIGN(Y17))</f>
        <v>0.9148112730992829</v>
      </c>
      <c r="AA17" s="395">
        <f>$AD17</f>
        <v>0.82962254619856579</v>
      </c>
      <c r="AB17" s="43">
        <f t="shared" ref="AB17:AB38" si="20">ERF(AE17)+ERF(AF17)-1</f>
        <v>0.78599792016697423</v>
      </c>
      <c r="AC17" s="47">
        <f t="shared" ref="AC17:AC38" si="21">ERF(AG17)+ERF(AH17)-1</f>
        <v>0.78599792016697423</v>
      </c>
      <c r="AD17" s="47">
        <f t="shared" ref="AD17:AD38" si="22">ERF(AI17)+ERF(AJ17)-1</f>
        <v>0.82962254619856579</v>
      </c>
      <c r="AE17" s="50">
        <f t="shared" ref="AE17:AE38" si="23">MAX(MIN(B_1*Tb_eff*($L$13+1)/(SQRT(8)*$I17),10),-10)</f>
        <v>1.4816049440313956</v>
      </c>
      <c r="AF17" s="50">
        <f t="shared" ref="AF17:AF38" si="24">MAX(MIN(B_1*Tb_eff*(1-$L$13)/(SQRT(8)*$I17),10),-10)</f>
        <v>0.95274069004768569</v>
      </c>
      <c r="AG17" s="50">
        <f t="shared" ref="AG17:AG38" si="25">MAX(MIN(B_1*Tb_eff*($L$13+$G$9+1)/(SQRT(8)*$I17),10),-10)</f>
        <v>1.4816049440313956</v>
      </c>
      <c r="AH17" s="50">
        <f t="shared" ref="AH17:AH38" si="26">MAX(MIN(B_1*Tb_eff*(1-$L$13-$G$9)/(SQRT(8)*$I17),10),-10)</f>
        <v>0.95274069004768569</v>
      </c>
      <c r="AI17" s="50">
        <f t="shared" ref="AI17:AI38" si="27">MAX(MIN(B_1*Tb_eff*($G$9+1)/(SQRT(8)*$I17),10),-10)</f>
        <v>1.2171728170395406</v>
      </c>
      <c r="AJ17" s="50">
        <f t="shared" ref="AJ17:AJ38" si="28">MAX(MIN(B_1*Tb_eff*(1-$G$9)/(SQRT(8)*$I17),10),-10)</f>
        <v>1.2171728170395406</v>
      </c>
      <c r="AK17" s="305"/>
      <c r="AL17" s="48">
        <f t="shared" ref="AL17:AL38" si="29">$L$6-$L$7</f>
        <v>5.23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5.1999999999999998E-2</v>
      </c>
      <c r="B18" s="52">
        <f t="shared" si="0"/>
        <v>0.18837494620045753</v>
      </c>
      <c r="C18" s="52">
        <f t="shared" si="1"/>
        <v>2.2583749462004574</v>
      </c>
      <c r="D18" s="180">
        <f t="shared" si="2"/>
        <v>-6.1235685131195323</v>
      </c>
      <c r="E18" s="52">
        <f t="shared" si="3"/>
        <v>1.1611599999999998E-3</v>
      </c>
      <c r="F18" s="53">
        <f t="shared" si="4"/>
        <v>105302.58185771416</v>
      </c>
      <c r="G18" s="53">
        <f t="shared" si="5"/>
        <v>9615.3846153846152</v>
      </c>
      <c r="H18" s="54">
        <f t="shared" si="6"/>
        <v>73.045063715419076</v>
      </c>
      <c r="I18" s="54">
        <f t="shared" si="7"/>
        <v>83.221986613340292</v>
      </c>
      <c r="J18" s="425">
        <f t="shared" si="8"/>
        <v>1.7946671923377524</v>
      </c>
      <c r="K18" s="252">
        <f t="shared" si="9"/>
        <v>0.25493576900399928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-6.246376628722608E-2</v>
      </c>
      <c r="P18" s="52">
        <f t="shared" si="13"/>
        <v>8.2606765512900767E-4</v>
      </c>
      <c r="Q18" s="52">
        <f t="shared" si="14"/>
        <v>7.3378358244390358E-5</v>
      </c>
      <c r="R18" s="268">
        <f t="shared" ref="R18:R23" si="31">10*LOG10(1/SQRT(1-AK18*(Q/AA18)^2))</f>
        <v>0.13247670442069012</v>
      </c>
      <c r="S18" s="52">
        <f t="shared" ref="S18:S23" si="32">-10*LOG10(AA18*SQRT(1-Q*Q*((SD_blw^2+AK18)/AA18^2+Vmn+(P18*P18))))-$T$13-J18-L18-Q18-N18-R18-Pmn</f>
        <v>0.14639944934977694</v>
      </c>
      <c r="T18" s="282">
        <f>J18+L18+B18+Q18+N18+R18+S18+Pmn</f>
        <v>2.5619916706669215</v>
      </c>
      <c r="U18" s="278">
        <f>J18+K18+B18+Q18+N18+R18+S18+Pmn+M18</f>
        <v>2.8169274396709207</v>
      </c>
      <c r="V18" s="181">
        <f t="shared" si="15"/>
        <v>2.3736167244664639</v>
      </c>
      <c r="W18" s="182">
        <f t="shared" si="16"/>
        <v>2.668008329333079</v>
      </c>
      <c r="X18" s="456">
        <f t="shared" si="17"/>
        <v>-7.2672614327307317</v>
      </c>
      <c r="Y18" s="59">
        <f t="shared" si="18"/>
        <v>0.97200745198005323</v>
      </c>
      <c r="Z18" s="60">
        <f t="shared" si="19"/>
        <v>0.8307526139377952</v>
      </c>
      <c r="AA18" s="300">
        <f t="shared" ref="AA18:AA23" si="33">$AD18*(1-2*$L$10*10^(-$C18/10)*$AB$5*SQRT(2*ER*($AD18*(ER-1)+ER+1))/($AD18*(ER-1)))</f>
        <v>0.66150522787559041</v>
      </c>
      <c r="AB18" s="56">
        <f t="shared" si="20"/>
        <v>0.62379186088176786</v>
      </c>
      <c r="AC18" s="55">
        <f t="shared" si="21"/>
        <v>0.62379186088176786</v>
      </c>
      <c r="AD18" s="55">
        <f t="shared" si="22"/>
        <v>0.66150522787559041</v>
      </c>
      <c r="AE18" s="61">
        <f t="shared" si="23"/>
        <v>1.1831771350199507</v>
      </c>
      <c r="AF18" s="61">
        <f t="shared" si="24"/>
        <v>0.76083776894015587</v>
      </c>
      <c r="AG18" s="61">
        <f t="shared" si="25"/>
        <v>1.1831771350199507</v>
      </c>
      <c r="AH18" s="61">
        <f t="shared" si="26"/>
        <v>0.76083776894015587</v>
      </c>
      <c r="AI18" s="61">
        <f t="shared" si="27"/>
        <v>0.97200745198005323</v>
      </c>
      <c r="AJ18" s="61">
        <f t="shared" si="28"/>
        <v>0.97200745198005323</v>
      </c>
      <c r="AK18" s="306">
        <f t="shared" ref="AK18:AK23" si="34">kRIN*10^6*$AK$7*$AK$7/(SQRT((1/F18)^2+(1/G18)^2+0.477*(1/$T$5)^2))*10^($G$4/10)</f>
        <v>5.229935562410166E-4</v>
      </c>
      <c r="AL18" s="57">
        <f t="shared" si="29"/>
        <v>5.23</v>
      </c>
      <c r="AM18" s="190">
        <f t="shared" ref="AM18:AM38" si="35">$L$3</f>
        <v>8.2000000000000003E-2</v>
      </c>
      <c r="AN18" s="190">
        <v>0</v>
      </c>
      <c r="AO18" s="58">
        <f t="shared" ref="AO18:AO38" si="36">IF(A18=$L$3,W18,0)</f>
        <v>0</v>
      </c>
      <c r="AP18" s="350">
        <f t="shared" ref="AP18:AP26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5.5E-2</v>
      </c>
      <c r="B19" s="64">
        <f t="shared" si="0"/>
        <v>0.19924273155817623</v>
      </c>
      <c r="C19" s="64">
        <f t="shared" si="1"/>
        <v>2.269242731558176</v>
      </c>
      <c r="D19" s="183">
        <f t="shared" si="2"/>
        <v>-6.476851311953352</v>
      </c>
      <c r="E19" s="64">
        <f t="shared" si="3"/>
        <v>1.2281499999999999E-3</v>
      </c>
      <c r="F19" s="65">
        <f t="shared" si="4"/>
        <v>99558.804665475196</v>
      </c>
      <c r="G19" s="65">
        <f t="shared" si="5"/>
        <v>9090.9090909090901</v>
      </c>
      <c r="H19" s="66">
        <f t="shared" si="6"/>
        <v>75.059187020727279</v>
      </c>
      <c r="I19" s="66">
        <f t="shared" si="7"/>
        <v>84.995289745337502</v>
      </c>
      <c r="J19" s="426">
        <f t="shared" si="8"/>
        <v>1.9154561500528786</v>
      </c>
      <c r="K19" s="253">
        <f t="shared" si="9"/>
        <v>0.25582109228935113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-6.6067445111489126E-2</v>
      </c>
      <c r="P19" s="64">
        <f t="shared" si="13"/>
        <v>9.23918789237188E-4</v>
      </c>
      <c r="Q19" s="64">
        <f t="shared" si="14"/>
        <v>9.179228803440025E-5</v>
      </c>
      <c r="R19" s="271">
        <f t="shared" si="31"/>
        <v>0.1353406814639492</v>
      </c>
      <c r="S19" s="64">
        <f t="shared" si="32"/>
        <v>0.15908692892225956</v>
      </c>
      <c r="T19" s="344">
        <f>J19+L19+B19+Q19+N19+R19+S19+Pmn</f>
        <v>2.7092182842852979</v>
      </c>
      <c r="U19" s="279">
        <f t="shared" ref="U19:U38" si="40">J19+K19+B19+Q19+N19+R19+S19+Pmn+M19</f>
        <v>2.9650393765746488</v>
      </c>
      <c r="V19" s="168">
        <f t="shared" si="15"/>
        <v>2.5099755527271217</v>
      </c>
      <c r="W19" s="184">
        <f t="shared" si="16"/>
        <v>2.5207817157147026</v>
      </c>
      <c r="X19" s="457">
        <f t="shared" si="17"/>
        <v>-7.2873553488477407</v>
      </c>
      <c r="Y19" s="72">
        <f t="shared" si="18"/>
        <v>0.95172792985494148</v>
      </c>
      <c r="Z19" s="73">
        <f t="shared" si="19"/>
        <v>0.82168024386364835</v>
      </c>
      <c r="AA19" s="301">
        <f t="shared" si="33"/>
        <v>0.6433604877272967</v>
      </c>
      <c r="AB19" s="69">
        <f t="shared" si="20"/>
        <v>0.60655791714730256</v>
      </c>
      <c r="AC19" s="68">
        <f t="shared" si="21"/>
        <v>0.60655791714730256</v>
      </c>
      <c r="AD19" s="68">
        <f t="shared" si="22"/>
        <v>0.6433604877272967</v>
      </c>
      <c r="AE19" s="23">
        <f t="shared" si="23"/>
        <v>1.158491864512317</v>
      </c>
      <c r="AF19" s="23">
        <f t="shared" si="24"/>
        <v>0.74496399519756606</v>
      </c>
      <c r="AG19" s="23">
        <f t="shared" si="25"/>
        <v>1.158491864512317</v>
      </c>
      <c r="AH19" s="23">
        <f t="shared" si="26"/>
        <v>0.74496399519756606</v>
      </c>
      <c r="AI19" s="23">
        <f t="shared" si="27"/>
        <v>0.95172792985494148</v>
      </c>
      <c r="AJ19" s="23">
        <f t="shared" si="28"/>
        <v>0.95172792985494148</v>
      </c>
      <c r="AK19" s="295">
        <f t="shared" si="34"/>
        <v>5.0506111741443723E-4</v>
      </c>
      <c r="AL19" s="70">
        <f t="shared" si="29"/>
        <v>5.23</v>
      </c>
      <c r="AM19" s="191">
        <f t="shared" si="35"/>
        <v>8.2000000000000003E-2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5.8000000000000003E-2</v>
      </c>
      <c r="B20" s="64">
        <f t="shared" si="0"/>
        <v>0.21011051691589497</v>
      </c>
      <c r="C20" s="64">
        <f t="shared" si="1"/>
        <v>2.2801105169158946</v>
      </c>
      <c r="D20" s="183">
        <f t="shared" si="2"/>
        <v>-6.8301341107871716</v>
      </c>
      <c r="E20" s="64">
        <f t="shared" si="3"/>
        <v>1.29514E-3</v>
      </c>
      <c r="F20" s="65">
        <f t="shared" si="4"/>
        <v>94409.211320709219</v>
      </c>
      <c r="G20" s="65">
        <f t="shared" si="5"/>
        <v>8620.689655172413</v>
      </c>
      <c r="H20" s="66">
        <f t="shared" si="6"/>
        <v>77.129170192250157</v>
      </c>
      <c r="I20" s="66">
        <f t="shared" si="7"/>
        <v>86.828720002234562</v>
      </c>
      <c r="J20" s="426">
        <f t="shared" si="8"/>
        <v>2.0434558624880594</v>
      </c>
      <c r="K20" s="253">
        <f t="shared" si="9"/>
        <v>0.25665012445979274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-6.9671123935752172E-2</v>
      </c>
      <c r="P20" s="64">
        <f t="shared" si="13"/>
        <v>1.0272077079622288E-3</v>
      </c>
      <c r="Q20" s="64">
        <f t="shared" si="14"/>
        <v>1.1346379447354637E-4</v>
      </c>
      <c r="R20" s="271">
        <f t="shared" si="31"/>
        <v>0.13881647446778639</v>
      </c>
      <c r="S20" s="64">
        <f t="shared" si="32"/>
        <v>0.17352806839874269</v>
      </c>
      <c r="T20" s="344">
        <f t="shared" ref="T20:T38" si="42">J20+L20+B20+Q20+N20+R20+S20+Pmn</f>
        <v>2.8660243860649568</v>
      </c>
      <c r="U20" s="279">
        <f t="shared" si="40"/>
        <v>3.1226745105247495</v>
      </c>
      <c r="V20" s="168">
        <f t="shared" si="15"/>
        <v>2.655913869149062</v>
      </c>
      <c r="W20" s="184">
        <f t="shared" si="16"/>
        <v>2.3639756139350436</v>
      </c>
      <c r="X20" s="457">
        <f t="shared" si="17"/>
        <v>-7.3089411684539778</v>
      </c>
      <c r="Y20" s="72">
        <f t="shared" si="18"/>
        <v>0.93163173607383831</v>
      </c>
      <c r="Z20" s="73">
        <f t="shared" si="19"/>
        <v>0.81233770732251553</v>
      </c>
      <c r="AA20" s="301">
        <f t="shared" si="33"/>
        <v>0.62467541464503107</v>
      </c>
      <c r="AB20" s="69">
        <f t="shared" si="20"/>
        <v>0.58882928515682664</v>
      </c>
      <c r="AC20" s="68">
        <f t="shared" si="21"/>
        <v>0.58882928515682664</v>
      </c>
      <c r="AD20" s="68">
        <f t="shared" si="22"/>
        <v>0.62467541464503107</v>
      </c>
      <c r="AE20" s="23">
        <f t="shared" si="23"/>
        <v>1.1340297506321249</v>
      </c>
      <c r="AF20" s="23">
        <f t="shared" si="24"/>
        <v>0.72923372151555188</v>
      </c>
      <c r="AG20" s="23">
        <f t="shared" si="25"/>
        <v>1.1340297506321249</v>
      </c>
      <c r="AH20" s="23">
        <f t="shared" si="26"/>
        <v>0.72923372151555188</v>
      </c>
      <c r="AI20" s="23">
        <f t="shared" si="27"/>
        <v>0.93163173607383831</v>
      </c>
      <c r="AJ20" s="23">
        <f t="shared" si="28"/>
        <v>0.93163173607383831</v>
      </c>
      <c r="AK20" s="295">
        <f t="shared" si="34"/>
        <v>4.8799202167596579E-4</v>
      </c>
      <c r="AL20" s="70">
        <f t="shared" si="29"/>
        <v>5.23</v>
      </c>
      <c r="AM20" s="191">
        <f t="shared" si="35"/>
        <v>8.2000000000000003E-2</v>
      </c>
      <c r="AN20" s="192">
        <f t="shared" si="41"/>
        <v>8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6.1000000000000006E-2</v>
      </c>
      <c r="B21" s="64">
        <f t="shared" si="0"/>
        <v>0.22097830227361367</v>
      </c>
      <c r="C21" s="64">
        <f t="shared" si="1"/>
        <v>2.2909783022736137</v>
      </c>
      <c r="D21" s="183">
        <f t="shared" si="2"/>
        <v>-7.1834169096209903</v>
      </c>
      <c r="E21" s="64">
        <f t="shared" si="3"/>
        <v>1.36213E-3</v>
      </c>
      <c r="F21" s="65">
        <f t="shared" si="4"/>
        <v>89766.135354116966</v>
      </c>
      <c r="G21" s="65">
        <f t="shared" si="5"/>
        <v>8196.7213114754086</v>
      </c>
      <c r="H21" s="66">
        <f t="shared" si="6"/>
        <v>79.250636263612179</v>
      </c>
      <c r="I21" s="66">
        <f t="shared" si="7"/>
        <v>88.718549756343066</v>
      </c>
      <c r="J21" s="426">
        <f t="shared" si="8"/>
        <v>2.1786840913676282</v>
      </c>
      <c r="K21" s="253">
        <f t="shared" si="9"/>
        <v>0.25744905859948197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-7.3274802760015217E-2</v>
      </c>
      <c r="P21" s="64">
        <f t="shared" si="13"/>
        <v>1.1359263879526678E-3</v>
      </c>
      <c r="Q21" s="64">
        <f t="shared" si="14"/>
        <v>1.3875341152066973E-4</v>
      </c>
      <c r="R21" s="271">
        <f t="shared" si="31"/>
        <v>0.14295812703062638</v>
      </c>
      <c r="S21" s="64">
        <f t="shared" si="32"/>
        <v>0.1899791308576127</v>
      </c>
      <c r="T21" s="344">
        <f t="shared" si="42"/>
        <v>3.0327384049410018</v>
      </c>
      <c r="U21" s="279">
        <f t="shared" si="40"/>
        <v>3.2901874635404837</v>
      </c>
      <c r="V21" s="168">
        <f t="shared" si="15"/>
        <v>2.811760102667388</v>
      </c>
      <c r="W21" s="184">
        <f t="shared" si="16"/>
        <v>2.1972615950589987</v>
      </c>
      <c r="X21" s="457">
        <f t="shared" si="17"/>
        <v>-7.332201427221019</v>
      </c>
      <c r="Y21" s="72">
        <f t="shared" si="18"/>
        <v>0.91178667120815371</v>
      </c>
      <c r="Z21" s="73">
        <f t="shared" si="19"/>
        <v>0.80276216016051971</v>
      </c>
      <c r="AA21" s="301">
        <f t="shared" si="33"/>
        <v>0.60552432032103942</v>
      </c>
      <c r="AB21" s="69">
        <f t="shared" si="20"/>
        <v>0.57067215843657326</v>
      </c>
      <c r="AC21" s="68">
        <f t="shared" si="21"/>
        <v>0.57067215843657326</v>
      </c>
      <c r="AD21" s="68">
        <f t="shared" si="22"/>
        <v>0.60552432032103942</v>
      </c>
      <c r="AE21" s="23">
        <f t="shared" si="23"/>
        <v>1.1098733236991474</v>
      </c>
      <c r="AF21" s="23">
        <f t="shared" si="24"/>
        <v>0.71370001871716005</v>
      </c>
      <c r="AG21" s="23">
        <f t="shared" si="25"/>
        <v>1.1098733236991474</v>
      </c>
      <c r="AH21" s="23">
        <f t="shared" si="26"/>
        <v>0.71370001871716005</v>
      </c>
      <c r="AI21" s="23">
        <f t="shared" si="27"/>
        <v>0.91178667120815371</v>
      </c>
      <c r="AJ21" s="23">
        <f t="shared" si="28"/>
        <v>0.91178667120815371</v>
      </c>
      <c r="AK21" s="295">
        <f t="shared" si="34"/>
        <v>4.7176446819902995E-4</v>
      </c>
      <c r="AL21" s="70">
        <f t="shared" si="29"/>
        <v>5.23</v>
      </c>
      <c r="AM21" s="191">
        <f t="shared" si="35"/>
        <v>8.2000000000000003E-2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6.4000000000000001E-2</v>
      </c>
      <c r="B22" s="64">
        <f t="shared" si="0"/>
        <v>0.23184608763133235</v>
      </c>
      <c r="C22" s="64">
        <f t="shared" si="1"/>
        <v>2.3018460876313322</v>
      </c>
      <c r="D22" s="183">
        <f t="shared" si="2"/>
        <v>-7.5366997084548091</v>
      </c>
      <c r="E22" s="64">
        <f t="shared" si="3"/>
        <v>1.4291199999999999E-3</v>
      </c>
      <c r="F22" s="65">
        <f t="shared" si="4"/>
        <v>85558.347759392753</v>
      </c>
      <c r="G22" s="65">
        <f t="shared" si="5"/>
        <v>7812.5</v>
      </c>
      <c r="H22" s="66">
        <f t="shared" si="6"/>
        <v>81.419561022762366</v>
      </c>
      <c r="I22" s="66">
        <f t="shared" si="7"/>
        <v>90.661252141257592</v>
      </c>
      <c r="J22" s="426">
        <f t="shared" si="8"/>
        <v>2.3211698426940779</v>
      </c>
      <c r="K22" s="253">
        <f t="shared" si="9"/>
        <v>0.25824786358781404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-7.6878481584278249E-2</v>
      </c>
      <c r="P22" s="64">
        <f t="shared" si="13"/>
        <v>1.2500663869158114E-3</v>
      </c>
      <c r="Q22" s="64">
        <f t="shared" si="14"/>
        <v>1.6803988541192201E-4</v>
      </c>
      <c r="R22" s="271">
        <f t="shared" si="31"/>
        <v>0.14782909497496038</v>
      </c>
      <c r="S22" s="64">
        <f t="shared" si="32"/>
        <v>0.20874905816964057</v>
      </c>
      <c r="T22" s="344">
        <f t="shared" si="42"/>
        <v>3.2097621233554232</v>
      </c>
      <c r="U22" s="279">
        <f t="shared" si="40"/>
        <v>3.4680099869432373</v>
      </c>
      <c r="V22" s="168">
        <f t="shared" si="15"/>
        <v>2.9779160357240908</v>
      </c>
      <c r="W22" s="184">
        <f t="shared" si="16"/>
        <v>2.0202378766445772</v>
      </c>
      <c r="X22" s="457">
        <f t="shared" si="17"/>
        <v>-7.3573544306529763</v>
      </c>
      <c r="Y22" s="72">
        <f t="shared" si="18"/>
        <v>0.8922487749310376</v>
      </c>
      <c r="Z22" s="73">
        <f t="shared" si="19"/>
        <v>0.79299014997309825</v>
      </c>
      <c r="AA22" s="301">
        <f t="shared" si="33"/>
        <v>0.58598029994619649</v>
      </c>
      <c r="AB22" s="69">
        <f t="shared" si="20"/>
        <v>0.55215146572831419</v>
      </c>
      <c r="AC22" s="68">
        <f t="shared" si="21"/>
        <v>0.55215146572831419</v>
      </c>
      <c r="AD22" s="68">
        <f t="shared" si="22"/>
        <v>0.58598029994619649</v>
      </c>
      <c r="AE22" s="23">
        <f t="shared" si="23"/>
        <v>1.086090798066875</v>
      </c>
      <c r="AF22" s="23">
        <f t="shared" si="24"/>
        <v>0.69840675179520006</v>
      </c>
      <c r="AG22" s="23">
        <f t="shared" si="25"/>
        <v>1.086090798066875</v>
      </c>
      <c r="AH22" s="23">
        <f t="shared" si="26"/>
        <v>0.69840675179520006</v>
      </c>
      <c r="AI22" s="23">
        <f t="shared" si="27"/>
        <v>0.8922487749310376</v>
      </c>
      <c r="AJ22" s="23">
        <f t="shared" si="28"/>
        <v>0.8922487749310376</v>
      </c>
      <c r="AK22" s="295">
        <f t="shared" si="34"/>
        <v>4.5634940101421222E-4</v>
      </c>
      <c r="AL22" s="70">
        <f t="shared" si="29"/>
        <v>5.23</v>
      </c>
      <c r="AM22" s="191">
        <f t="shared" si="35"/>
        <v>8.2000000000000003E-2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6.7000000000000004E-2</v>
      </c>
      <c r="B23" s="52">
        <f t="shared" si="0"/>
        <v>0.24271387298905106</v>
      </c>
      <c r="C23" s="52">
        <f t="shared" si="1"/>
        <v>2.3127138729890508</v>
      </c>
      <c r="D23" s="180">
        <f t="shared" si="2"/>
        <v>-7.8899825072886287</v>
      </c>
      <c r="E23" s="52">
        <f t="shared" si="3"/>
        <v>1.4961099999999999E-3</v>
      </c>
      <c r="F23" s="53">
        <f t="shared" si="4"/>
        <v>81727.376964196053</v>
      </c>
      <c r="G23" s="53">
        <f t="shared" si="5"/>
        <v>7462.686567164179</v>
      </c>
      <c r="H23" s="54">
        <f t="shared" si="6"/>
        <v>83.632252160281951</v>
      </c>
      <c r="I23" s="54">
        <f t="shared" si="7"/>
        <v>92.653501412965198</v>
      </c>
      <c r="J23" s="425">
        <f t="shared" si="8"/>
        <v>2.4709583632551371</v>
      </c>
      <c r="K23" s="252">
        <f t="shared" si="9"/>
        <v>0.25907972734518703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-8.0482160408541295E-2</v>
      </c>
      <c r="P23" s="52">
        <f t="shared" si="13"/>
        <v>1.3696188447104721E-3</v>
      </c>
      <c r="Q23" s="52">
        <f t="shared" si="14"/>
        <v>2.0172003520524225E-4</v>
      </c>
      <c r="R23" s="268">
        <f t="shared" si="31"/>
        <v>0.15350460177070008</v>
      </c>
      <c r="S23" s="52">
        <f t="shared" si="32"/>
        <v>0.23021333403014582</v>
      </c>
      <c r="T23" s="282">
        <f t="shared" si="42"/>
        <v>3.3975918920802393</v>
      </c>
      <c r="U23" s="278">
        <f t="shared" si="40"/>
        <v>3.6566716194254263</v>
      </c>
      <c r="V23" s="181">
        <f t="shared" si="15"/>
        <v>3.1548780190911883</v>
      </c>
      <c r="W23" s="182">
        <f t="shared" si="16"/>
        <v>1.8324081079197612</v>
      </c>
      <c r="X23" s="456">
        <f t="shared" si="17"/>
        <v>-7.3846635408864811</v>
      </c>
      <c r="Y23" s="59">
        <f t="shared" si="18"/>
        <v>0.87306350999306703</v>
      </c>
      <c r="Z23" s="60">
        <f t="shared" si="19"/>
        <v>0.78305717503353822</v>
      </c>
      <c r="AA23" s="300">
        <f t="shared" si="33"/>
        <v>0.56611435006707644</v>
      </c>
      <c r="AB23" s="56">
        <f t="shared" si="20"/>
        <v>0.53333021779584699</v>
      </c>
      <c r="AC23" s="55">
        <f t="shared" si="21"/>
        <v>0.53333021779584699</v>
      </c>
      <c r="AD23" s="55">
        <f t="shared" si="22"/>
        <v>0.56611435006707644</v>
      </c>
      <c r="AE23" s="61">
        <f t="shared" si="23"/>
        <v>1.0627375133182182</v>
      </c>
      <c r="AF23" s="61">
        <f t="shared" si="24"/>
        <v>0.68338950666791598</v>
      </c>
      <c r="AG23" s="61">
        <f t="shared" si="25"/>
        <v>1.0627375133182182</v>
      </c>
      <c r="AH23" s="61">
        <f t="shared" si="26"/>
        <v>0.68338950666791598</v>
      </c>
      <c r="AI23" s="61">
        <f t="shared" si="27"/>
        <v>0.87306350999306703</v>
      </c>
      <c r="AJ23" s="61">
        <f t="shared" si="28"/>
        <v>0.87306350999306703</v>
      </c>
      <c r="AK23" s="306">
        <f t="shared" si="34"/>
        <v>4.4171309440110162E-4</v>
      </c>
      <c r="AL23" s="57">
        <f t="shared" si="29"/>
        <v>5.23</v>
      </c>
      <c r="AM23" s="190">
        <f t="shared" si="35"/>
        <v>8.2000000000000003E-2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7.0000000000000007E-2</v>
      </c>
      <c r="B24" s="64">
        <f t="shared" si="0"/>
        <v>0.25358165834676977</v>
      </c>
      <c r="C24" s="64">
        <f t="shared" si="1"/>
        <v>2.3235816583467694</v>
      </c>
      <c r="D24" s="183">
        <f t="shared" si="2"/>
        <v>-8.2432653061224492</v>
      </c>
      <c r="E24" s="64">
        <f t="shared" si="3"/>
        <v>1.5631E-3</v>
      </c>
      <c r="F24" s="65">
        <f t="shared" si="4"/>
        <v>78224.775094301905</v>
      </c>
      <c r="G24" s="65">
        <f t="shared" si="5"/>
        <v>7142.8571428571422</v>
      </c>
      <c r="H24" s="66">
        <f t="shared" si="6"/>
        <v>85.885327041191019</v>
      </c>
      <c r="I24" s="66">
        <f t="shared" si="7"/>
        <v>94.692170339757737</v>
      </c>
      <c r="J24" s="426">
        <f t="shared" si="8"/>
        <v>2.6281162758951844</v>
      </c>
      <c r="K24" s="253">
        <f t="shared" si="9"/>
        <v>0.25998065381234436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-8.4085839232804355E-2</v>
      </c>
      <c r="P24" s="64">
        <f t="shared" si="13"/>
        <v>1.4945744844931668E-3</v>
      </c>
      <c r="Q24" s="64">
        <f t="shared" si="14"/>
        <v>2.4020860753336989E-4</v>
      </c>
      <c r="R24" s="271">
        <f t="shared" ref="R24:R37" si="44">10*LOG10(1/SQRT(1-AK24*(Q/AA24)^2))</f>
        <v>0.16007442756762771</v>
      </c>
      <c r="S24" s="64">
        <f t="shared" ref="S24:S37" si="45">-10*LOG10(AA24*SQRT(1-Q*Q*((SD_blw^2+AK24)/AA24^2+Vmn+(P24*P24))))-$T$13-J24-L24-Q24-N24-R24-Pmn</f>
        <v>0.25483236790438274</v>
      </c>
      <c r="T24" s="344">
        <f t="shared" si="42"/>
        <v>3.5968449383214978</v>
      </c>
      <c r="U24" s="279">
        <f t="shared" si="40"/>
        <v>3.8568255921338421</v>
      </c>
      <c r="V24" s="168">
        <f t="shared" si="15"/>
        <v>3.3432632799747282</v>
      </c>
      <c r="W24" s="184">
        <f t="shared" si="16"/>
        <v>1.6331550616785027</v>
      </c>
      <c r="X24" s="457">
        <f t="shared" si="17"/>
        <v>-7.4144491575505729</v>
      </c>
      <c r="Y24" s="72">
        <f t="shared" si="18"/>
        <v>0.85426694589961538</v>
      </c>
      <c r="Z24" s="73">
        <f t="shared" si="19"/>
        <v>0.77299731568175756</v>
      </c>
      <c r="AA24" s="301">
        <f>$AD24*(1-2*$L$10*10^(-$C24/10)*$AB$5*SQRT(2*ER*($AD24*(ER-1)+ER+1))/($AD24*(ER-1)))</f>
        <v>0.54599463136351511</v>
      </c>
      <c r="AB24" s="69">
        <f t="shared" si="20"/>
        <v>0.51426895390851057</v>
      </c>
      <c r="AC24" s="68">
        <f t="shared" si="21"/>
        <v>0.51426895390851057</v>
      </c>
      <c r="AD24" s="68">
        <f t="shared" si="22"/>
        <v>0.54599463136351511</v>
      </c>
      <c r="AE24" s="23">
        <f t="shared" si="23"/>
        <v>1.0398573750980789</v>
      </c>
      <c r="AF24" s="23">
        <f t="shared" si="24"/>
        <v>0.66867651670115191</v>
      </c>
      <c r="AG24" s="23">
        <f t="shared" si="25"/>
        <v>1.0398573750980789</v>
      </c>
      <c r="AH24" s="23">
        <f t="shared" si="26"/>
        <v>0.66867651670115191</v>
      </c>
      <c r="AI24" s="23">
        <f t="shared" si="27"/>
        <v>0.85426694589961538</v>
      </c>
      <c r="AJ24" s="23">
        <f t="shared" si="28"/>
        <v>0.85426694589961538</v>
      </c>
      <c r="AK24" s="295">
        <f t="shared" ref="AK24:AK38" si="46">kRIN*10^6*$AK$7*$AK$7/(SQRT((1/F24)^2+(1/G24)^2+0.477*(1/$T$5)^2))*10^($G$4/10)</f>
        <v>4.2781910261590397E-4</v>
      </c>
      <c r="AL24" s="70">
        <f t="shared" si="29"/>
        <v>5.23</v>
      </c>
      <c r="AM24" s="191">
        <f t="shared" si="35"/>
        <v>8.2000000000000003E-2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7.3000000000000009E-2</v>
      </c>
      <c r="B25" s="64">
        <f t="shared" si="0"/>
        <v>0.26444944370448847</v>
      </c>
      <c r="C25" s="64">
        <f t="shared" si="1"/>
        <v>2.3344494437044885</v>
      </c>
      <c r="D25" s="183">
        <f t="shared" si="2"/>
        <v>-8.596548104956268</v>
      </c>
      <c r="E25" s="64">
        <f t="shared" si="3"/>
        <v>1.6300900000000001E-3</v>
      </c>
      <c r="F25" s="65">
        <f t="shared" si="4"/>
        <v>75010.058309604588</v>
      </c>
      <c r="G25" s="65">
        <f t="shared" si="5"/>
        <v>6849.3150684931497</v>
      </c>
      <c r="H25" s="66">
        <f t="shared" si="6"/>
        <v>88.17569005033863</v>
      </c>
      <c r="I25" s="66">
        <f t="shared" si="7"/>
        <v>96.77432530653337</v>
      </c>
      <c r="J25" s="426">
        <f t="shared" si="8"/>
        <v>2.7927368759819227</v>
      </c>
      <c r="K25" s="253">
        <f t="shared" si="9"/>
        <v>0.26098923407912089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-8.7689518057067387E-2</v>
      </c>
      <c r="P25" s="64">
        <f t="shared" si="13"/>
        <v>1.6249236139178724E-3</v>
      </c>
      <c r="Q25" s="64">
        <f t="shared" si="14"/>
        <v>2.8393812574435792E-4</v>
      </c>
      <c r="R25" s="271">
        <f t="shared" si="44"/>
        <v>0.16764630437692979</v>
      </c>
      <c r="S25" s="64">
        <f t="shared" si="45"/>
        <v>0.28317624949659176</v>
      </c>
      <c r="T25" s="344">
        <f t="shared" si="42"/>
        <v>3.8082928116856771</v>
      </c>
      <c r="U25" s="279">
        <f t="shared" si="40"/>
        <v>4.0692820457647985</v>
      </c>
      <c r="V25" s="168">
        <f t="shared" si="15"/>
        <v>3.5438433679811885</v>
      </c>
      <c r="W25" s="184">
        <f t="shared" si="16"/>
        <v>1.4217071883143233</v>
      </c>
      <c r="X25" s="457">
        <f t="shared" si="17"/>
        <v>-7.4471044900319106</v>
      </c>
      <c r="Y25" s="72">
        <f t="shared" si="18"/>
        <v>0.83588690389236775</v>
      </c>
      <c r="Z25" s="73">
        <f t="shared" si="19"/>
        <v>0.76284294026649901</v>
      </c>
      <c r="AA25" s="301">
        <f>$AD25*(1-2*$L$10*10^(-$C25/10)*$AB$5*SQRT(2*ER*($AD25*(ER-1)+ER+1))/($AD25*(ER-1)))</f>
        <v>0.52568588053299803</v>
      </c>
      <c r="AB25" s="69">
        <f t="shared" si="20"/>
        <v>0.49502529242469651</v>
      </c>
      <c r="AC25" s="68">
        <f t="shared" si="21"/>
        <v>0.49502529242469651</v>
      </c>
      <c r="AD25" s="68">
        <f t="shared" si="22"/>
        <v>0.52568588053299803</v>
      </c>
      <c r="AE25" s="23">
        <f t="shared" si="23"/>
        <v>1.0174842488433558</v>
      </c>
      <c r="AF25" s="23">
        <f t="shared" si="24"/>
        <v>0.65428955894137997</v>
      </c>
      <c r="AG25" s="23">
        <f t="shared" si="25"/>
        <v>1.0174842488433558</v>
      </c>
      <c r="AH25" s="23">
        <f t="shared" si="26"/>
        <v>0.65428955894137997</v>
      </c>
      <c r="AI25" s="23">
        <f t="shared" si="27"/>
        <v>0.83588690389236775</v>
      </c>
      <c r="AJ25" s="23">
        <f t="shared" si="28"/>
        <v>0.83588690389236775</v>
      </c>
      <c r="AK25" s="295">
        <f t="shared" si="46"/>
        <v>4.1462970580003324E-4</v>
      </c>
      <c r="AL25" s="70">
        <f t="shared" si="29"/>
        <v>5.23</v>
      </c>
      <c r="AM25" s="191">
        <f t="shared" si="35"/>
        <v>8.2000000000000003E-2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7.6000000000000012E-2</v>
      </c>
      <c r="B26" s="64">
        <f t="shared" si="0"/>
        <v>0.27531722906220724</v>
      </c>
      <c r="C26" s="64">
        <f t="shared" si="1"/>
        <v>2.3453172290622071</v>
      </c>
      <c r="D26" s="183">
        <f t="shared" si="2"/>
        <v>-8.9498309037900867</v>
      </c>
      <c r="E26" s="64">
        <f t="shared" si="3"/>
        <v>1.6970800000000001E-3</v>
      </c>
      <c r="F26" s="65">
        <f t="shared" si="4"/>
        <v>72049.134955278103</v>
      </c>
      <c r="G26" s="65">
        <f t="shared" si="5"/>
        <v>6578.9473684210516</v>
      </c>
      <c r="H26" s="66">
        <f t="shared" si="6"/>
        <v>90.500510197700692</v>
      </c>
      <c r="I26" s="66">
        <f t="shared" si="7"/>
        <v>98.897219721918816</v>
      </c>
      <c r="J26" s="426">
        <f t="shared" si="8"/>
        <v>2.9649456529075442</v>
      </c>
      <c r="K26" s="253">
        <f t="shared" si="9"/>
        <v>0.26214660642873788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-9.1293196881330432E-2</v>
      </c>
      <c r="P26" s="64">
        <f t="shared" si="13"/>
        <v>1.7606561263889828E-3</v>
      </c>
      <c r="Q26" s="64">
        <f t="shared" si="14"/>
        <v>3.3335873359047489E-4</v>
      </c>
      <c r="R26" s="271">
        <f t="shared" si="44"/>
        <v>0.17635014209633421</v>
      </c>
      <c r="S26" s="64">
        <f t="shared" si="45"/>
        <v>0.31595864250009759</v>
      </c>
      <c r="T26" s="344">
        <f t="shared" si="42"/>
        <v>4.0329050252997733</v>
      </c>
      <c r="U26" s="279">
        <f t="shared" si="40"/>
        <v>4.2950516317285112</v>
      </c>
      <c r="V26" s="168">
        <f t="shared" si="15"/>
        <v>3.7575877962375661</v>
      </c>
      <c r="W26" s="184">
        <f t="shared" si="16"/>
        <v>1.1970949747002271</v>
      </c>
      <c r="X26" s="457">
        <f t="shared" si="17"/>
        <v>-7.4831167302186321</v>
      </c>
      <c r="Y26" s="72">
        <f t="shared" si="18"/>
        <v>0.81794403709432728</v>
      </c>
      <c r="Z26" s="73">
        <f t="shared" si="19"/>
        <v>0.75262448376289759</v>
      </c>
      <c r="AA26" s="301">
        <f t="shared" ref="AA26:AA38" si="48">$AD26*(1-2*$L$10*10^(-$C26/10)*$AB$5*SQRT(2*ER*($AD26*(ER-1)+ER+1))/($AD26*(ER-1)))</f>
        <v>0.50524896752579518</v>
      </c>
      <c r="AB26" s="69">
        <f t="shared" si="20"/>
        <v>0.47565358466566199</v>
      </c>
      <c r="AC26" s="68">
        <f t="shared" si="21"/>
        <v>0.47565358466566199</v>
      </c>
      <c r="AD26" s="68">
        <f t="shared" si="22"/>
        <v>0.50524896752579518</v>
      </c>
      <c r="AE26" s="23">
        <f t="shared" si="23"/>
        <v>0.99564327459063384</v>
      </c>
      <c r="AF26" s="23">
        <f t="shared" si="24"/>
        <v>0.64024479959802083</v>
      </c>
      <c r="AG26" s="23">
        <f t="shared" si="25"/>
        <v>0.99564327459063384</v>
      </c>
      <c r="AH26" s="23">
        <f t="shared" si="26"/>
        <v>0.64024479959802083</v>
      </c>
      <c r="AI26" s="23">
        <f t="shared" si="27"/>
        <v>0.81794403709432728</v>
      </c>
      <c r="AJ26" s="23">
        <f t="shared" si="28"/>
        <v>0.81794403709432728</v>
      </c>
      <c r="AK26" s="295">
        <f t="shared" si="46"/>
        <v>4.0210696264544627E-4</v>
      </c>
      <c r="AL26" s="70">
        <f t="shared" si="29"/>
        <v>5.23</v>
      </c>
      <c r="AM26" s="191">
        <f t="shared" si="35"/>
        <v>8.2000000000000003E-2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7.9000000000000015E-2</v>
      </c>
      <c r="B27" s="64">
        <f t="shared" si="0"/>
        <v>0.28618501441992594</v>
      </c>
      <c r="C27" s="64">
        <f t="shared" si="1"/>
        <v>2.3561850144199257</v>
      </c>
      <c r="D27" s="183">
        <f t="shared" si="2"/>
        <v>-9.3031137026239072</v>
      </c>
      <c r="E27" s="64">
        <f t="shared" si="3"/>
        <v>1.7640700000000002E-3</v>
      </c>
      <c r="F27" s="65">
        <f t="shared" si="4"/>
        <v>69313.091855710562</v>
      </c>
      <c r="G27" s="65">
        <f t="shared" si="5"/>
        <v>6329.1139240506318</v>
      </c>
      <c r="H27" s="66">
        <f t="shared" si="6"/>
        <v>92.857199459947992</v>
      </c>
      <c r="I27" s="66">
        <f t="shared" si="7"/>
        <v>101.0582862224861</v>
      </c>
      <c r="J27" s="426">
        <f t="shared" si="8"/>
        <v>3.1449061421490407</v>
      </c>
      <c r="K27" s="253">
        <f t="shared" si="9"/>
        <v>0.26349661811868152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-9.4896875705593492E-2</v>
      </c>
      <c r="P27" s="64">
        <f t="shared" si="13"/>
        <v>1.9017615023673266E-3</v>
      </c>
      <c r="Q27" s="64">
        <f t="shared" si="14"/>
        <v>3.8893803368073921E-4</v>
      </c>
      <c r="R27" s="271">
        <f t="shared" si="44"/>
        <v>0.18634338527977742</v>
      </c>
      <c r="S27" s="64">
        <f t="shared" si="45"/>
        <v>0.35408405986765729</v>
      </c>
      <c r="T27" s="344">
        <f t="shared" si="42"/>
        <v>4.2719075397500816</v>
      </c>
      <c r="U27" s="279">
        <f t="shared" si="40"/>
        <v>4.5354041578687632</v>
      </c>
      <c r="V27" s="168">
        <f t="shared" si="15"/>
        <v>3.9857225253301558</v>
      </c>
      <c r="W27" s="184">
        <f t="shared" si="16"/>
        <v>0.95809246024991879</v>
      </c>
      <c r="X27" s="457">
        <f t="shared" si="17"/>
        <v>-7.5230960467436638</v>
      </c>
      <c r="Y27" s="72">
        <f t="shared" si="18"/>
        <v>0.8004528295548311</v>
      </c>
      <c r="Z27" s="73">
        <f t="shared" si="19"/>
        <v>0.74237029425788381</v>
      </c>
      <c r="AA27" s="301">
        <f t="shared" si="48"/>
        <v>0.48474058851576762</v>
      </c>
      <c r="AB27" s="69">
        <f t="shared" si="20"/>
        <v>0.45620466716001196</v>
      </c>
      <c r="AC27" s="68">
        <f t="shared" si="21"/>
        <v>0.45620466716001196</v>
      </c>
      <c r="AD27" s="68">
        <f t="shared" si="22"/>
        <v>0.48474058851576762</v>
      </c>
      <c r="AE27" s="23">
        <f t="shared" si="23"/>
        <v>0.97435208306482524</v>
      </c>
      <c r="AF27" s="23">
        <f t="shared" si="24"/>
        <v>0.62655357604483697</v>
      </c>
      <c r="AG27" s="23">
        <f t="shared" si="25"/>
        <v>0.97435208306482524</v>
      </c>
      <c r="AH27" s="23">
        <f t="shared" si="26"/>
        <v>0.62655357604483697</v>
      </c>
      <c r="AI27" s="23">
        <f t="shared" si="27"/>
        <v>0.8004528295548311</v>
      </c>
      <c r="AJ27" s="23">
        <f t="shared" si="28"/>
        <v>0.8004528295548311</v>
      </c>
      <c r="AK27" s="295">
        <f t="shared" si="46"/>
        <v>3.9021346005435435E-4</v>
      </c>
      <c r="AL27" s="70">
        <f t="shared" si="29"/>
        <v>5.23</v>
      </c>
      <c r="AM27" s="191">
        <f t="shared" si="35"/>
        <v>8.2000000000000003E-2</v>
      </c>
      <c r="AN27" s="192">
        <f t="shared" si="41"/>
        <v>8</v>
      </c>
      <c r="AO27" s="71">
        <f t="shared" si="36"/>
        <v>0</v>
      </c>
      <c r="AP27" s="352">
        <f>IF($A27=$L$3,I27,0)</f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8.2000000000000017E-2</v>
      </c>
      <c r="B28" s="52">
        <f t="shared" si="0"/>
        <v>0.29705279977764465</v>
      </c>
      <c r="C28" s="52">
        <f t="shared" si="1"/>
        <v>2.3670527997776443</v>
      </c>
      <c r="D28" s="180">
        <f t="shared" si="2"/>
        <v>-9.656396501457726</v>
      </c>
      <c r="E28" s="52">
        <f t="shared" si="3"/>
        <v>1.8310600000000002E-3</v>
      </c>
      <c r="F28" s="53">
        <f t="shared" si="4"/>
        <v>66777.247031721156</v>
      </c>
      <c r="G28" s="53">
        <f t="shared" si="5"/>
        <v>6097.5609756097547</v>
      </c>
      <c r="H28" s="54">
        <f t="shared" si="6"/>
        <v>95.243392171607866</v>
      </c>
      <c r="I28" s="54">
        <f t="shared" si="7"/>
        <v>103.25512808105974</v>
      </c>
      <c r="J28" s="425">
        <f t="shared" si="8"/>
        <v>3.3328262570338314</v>
      </c>
      <c r="K28" s="252">
        <f t="shared" si="9"/>
        <v>0.26508620358527279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-9.8500554529856538E-2</v>
      </c>
      <c r="P28" s="52">
        <f t="shared" si="13"/>
        <v>2.0482288107289666E-3</v>
      </c>
      <c r="Q28" s="52">
        <f t="shared" si="14"/>
        <v>4.5116092085301649E-4</v>
      </c>
      <c r="R28" s="268">
        <f t="shared" si="44"/>
        <v>0.19781791003371127</v>
      </c>
      <c r="S28" s="52">
        <f t="shared" si="45"/>
        <v>0.39871519315750809</v>
      </c>
      <c r="T28" s="282">
        <f t="shared" si="42"/>
        <v>4.5268633209235487</v>
      </c>
      <c r="U28" s="278">
        <f t="shared" si="40"/>
        <v>4.7919495245088211</v>
      </c>
      <c r="V28" s="181">
        <f t="shared" si="15"/>
        <v>4.2298105211459038</v>
      </c>
      <c r="W28" s="182">
        <f t="shared" si="16"/>
        <v>0.70313667907645172</v>
      </c>
      <c r="X28" s="456">
        <f t="shared" si="17"/>
        <v>-7.5678161463874138</v>
      </c>
      <c r="Y28" s="59">
        <f t="shared" si="18"/>
        <v>0.78342250559455973</v>
      </c>
      <c r="Z28" s="60">
        <f t="shared" si="19"/>
        <v>0.73210654054093838</v>
      </c>
      <c r="AA28" s="300">
        <f t="shared" si="48"/>
        <v>0.46421308108187676</v>
      </c>
      <c r="AB28" s="56">
        <f t="shared" si="20"/>
        <v>0.43672570435891789</v>
      </c>
      <c r="AC28" s="55">
        <f t="shared" si="21"/>
        <v>0.43672570435891789</v>
      </c>
      <c r="AD28" s="55">
        <f t="shared" si="22"/>
        <v>0.46421308108187676</v>
      </c>
      <c r="AE28" s="61">
        <f t="shared" si="23"/>
        <v>0.9536219025803766</v>
      </c>
      <c r="AF28" s="61">
        <f t="shared" si="24"/>
        <v>0.61322310860874285</v>
      </c>
      <c r="AG28" s="61">
        <f t="shared" si="25"/>
        <v>0.9536219025803766</v>
      </c>
      <c r="AH28" s="61">
        <f t="shared" si="26"/>
        <v>0.61322310860874285</v>
      </c>
      <c r="AI28" s="61">
        <f t="shared" si="27"/>
        <v>0.78342250559455973</v>
      </c>
      <c r="AJ28" s="61">
        <f t="shared" si="28"/>
        <v>0.78342250559455973</v>
      </c>
      <c r="AK28" s="306">
        <f t="shared" si="46"/>
        <v>3.7891283197661897E-4</v>
      </c>
      <c r="AL28" s="57">
        <f t="shared" si="29"/>
        <v>5.23</v>
      </c>
      <c r="AM28" s="190">
        <f t="shared" si="35"/>
        <v>8.2000000000000003E-2</v>
      </c>
      <c r="AN28" s="193">
        <f t="shared" si="41"/>
        <v>8</v>
      </c>
      <c r="AO28" s="58">
        <f t="shared" si="36"/>
        <v>0.70313667907645172</v>
      </c>
      <c r="AP28" s="350">
        <f t="shared" ref="AP28:AP38" si="49">IF($A28=$L$3,I28,0)</f>
        <v>103.25512808105974</v>
      </c>
      <c r="AQ28" s="351">
        <f>IF($A28=$L$3,B_1*Tb_eff*(1+$G$9)/(SQRT(8)*SQRT($H28^2+$AG$8^2)),0)</f>
        <v>0.77143340330222199</v>
      </c>
      <c r="AR28" s="351">
        <f>IF($A28=$L$3,B_1*Tb_eff*(1-$G$9)/(SQRT(8)*SQRT($H28^2+$AG$8^2)),0)</f>
        <v>0.77143340330222199</v>
      </c>
    </row>
    <row r="29" spans="1:44" s="74" customFormat="1" ht="15" customHeight="1" x14ac:dyDescent="0.2">
      <c r="A29" s="63">
        <f t="shared" si="39"/>
        <v>8.500000000000002E-2</v>
      </c>
      <c r="B29" s="64">
        <f t="shared" si="0"/>
        <v>0.30792058513536336</v>
      </c>
      <c r="C29" s="64">
        <f t="shared" si="1"/>
        <v>2.3779205851353633</v>
      </c>
      <c r="D29" s="183">
        <f t="shared" si="2"/>
        <v>-10.009679300291547</v>
      </c>
      <c r="E29" s="64">
        <f t="shared" si="3"/>
        <v>1.8980500000000003E-3</v>
      </c>
      <c r="F29" s="65">
        <f t="shared" si="4"/>
        <v>64420.403018836863</v>
      </c>
      <c r="G29" s="65">
        <f t="shared" si="5"/>
        <v>5882.3529411764694</v>
      </c>
      <c r="H29" s="66">
        <f t="shared" si="6"/>
        <v>97.656925655452213</v>
      </c>
      <c r="I29" s="66">
        <f t="shared" si="7"/>
        <v>105.4855101478676</v>
      </c>
      <c r="J29" s="426">
        <f t="shared" si="8"/>
        <v>3.5289652975859354</v>
      </c>
      <c r="K29" s="253">
        <f t="shared" si="9"/>
        <v>0.26696599960760681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-0.10210423335411958</v>
      </c>
      <c r="P29" s="64">
        <f t="shared" si="13"/>
        <v>2.2000467101764196E-3</v>
      </c>
      <c r="Q29" s="64">
        <f t="shared" si="14"/>
        <v>5.2052941069740256E-4</v>
      </c>
      <c r="R29" s="271">
        <f t="shared" si="44"/>
        <v>0.21100903146129804</v>
      </c>
      <c r="S29" s="64">
        <f t="shared" si="45"/>
        <v>0.45137110882166592</v>
      </c>
      <c r="T29" s="344">
        <f t="shared" si="42"/>
        <v>4.7997865524149601</v>
      </c>
      <c r="U29" s="279">
        <f t="shared" si="40"/>
        <v>5.0667525520225674</v>
      </c>
      <c r="V29" s="168">
        <f t="shared" si="15"/>
        <v>4.4918659672795966</v>
      </c>
      <c r="W29" s="184">
        <f t="shared" si="16"/>
        <v>0.43021344758504032</v>
      </c>
      <c r="X29" s="457">
        <f t="shared" si="17"/>
        <v>-7.618272379494643</v>
      </c>
      <c r="Y29" s="72">
        <f t="shared" si="18"/>
        <v>0.76685784657397549</v>
      </c>
      <c r="Z29" s="73">
        <f t="shared" si="19"/>
        <v>0.7218571729270743</v>
      </c>
      <c r="AA29" s="301">
        <f t="shared" si="48"/>
        <v>0.4437143458541486</v>
      </c>
      <c r="AB29" s="69">
        <f t="shared" si="20"/>
        <v>0.41726011198661928</v>
      </c>
      <c r="AC29" s="68">
        <f t="shared" si="21"/>
        <v>0.41726011198661928</v>
      </c>
      <c r="AD29" s="68">
        <f t="shared" si="22"/>
        <v>0.4437143458541486</v>
      </c>
      <c r="AE29" s="23">
        <f t="shared" si="23"/>
        <v>0.9334585532535451</v>
      </c>
      <c r="AF29" s="23">
        <f t="shared" si="24"/>
        <v>0.60025713989440588</v>
      </c>
      <c r="AG29" s="23">
        <f t="shared" si="25"/>
        <v>0.9334585532535451</v>
      </c>
      <c r="AH29" s="23">
        <f t="shared" si="26"/>
        <v>0.60025713989440588</v>
      </c>
      <c r="AI29" s="23">
        <f t="shared" si="27"/>
        <v>0.76685784657397549</v>
      </c>
      <c r="AJ29" s="23">
        <f t="shared" si="28"/>
        <v>0.76685784657397549</v>
      </c>
      <c r="AK29" s="295">
        <f t="shared" si="46"/>
        <v>3.681701042967749E-4</v>
      </c>
      <c r="AL29" s="70">
        <f t="shared" si="29"/>
        <v>5.23</v>
      </c>
      <c r="AM29" s="191">
        <f t="shared" si="35"/>
        <v>8.2000000000000003E-2</v>
      </c>
      <c r="AN29" s="192">
        <f t="shared" si="41"/>
        <v>8</v>
      </c>
      <c r="AO29" s="71">
        <f t="shared" si="36"/>
        <v>0</v>
      </c>
      <c r="AP29" s="352">
        <f t="shared" si="49"/>
        <v>0</v>
      </c>
      <c r="AQ29" s="353">
        <f t="shared" si="43"/>
        <v>0</v>
      </c>
      <c r="AR29" s="353">
        <f t="shared" ref="AR29:AR37" si="50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8.8000000000000023E-2</v>
      </c>
      <c r="B30" s="64">
        <f t="shared" si="0"/>
        <v>0.31878837049308206</v>
      </c>
      <c r="C30" s="64">
        <f t="shared" si="1"/>
        <v>2.3887883704930819</v>
      </c>
      <c r="D30" s="183">
        <f t="shared" si="2"/>
        <v>-10.362962099125365</v>
      </c>
      <c r="E30" s="64">
        <f t="shared" si="3"/>
        <v>1.9650400000000004E-3</v>
      </c>
      <c r="F30" s="65">
        <f t="shared" si="4"/>
        <v>62224.252915921985</v>
      </c>
      <c r="G30" s="65">
        <f t="shared" si="5"/>
        <v>5681.8181818181802</v>
      </c>
      <c r="H30" s="66">
        <f t="shared" si="6"/>
        <v>100.09582219005965</v>
      </c>
      <c r="I30" s="66">
        <f t="shared" si="7"/>
        <v>107.74734958496843</v>
      </c>
      <c r="J30" s="426">
        <f t="shared" si="8"/>
        <v>3.7336418904551296</v>
      </c>
      <c r="K30" s="253">
        <f t="shared" si="9"/>
        <v>0.26919122821171371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-0.10570791217838263</v>
      </c>
      <c r="P30" s="64">
        <f t="shared" si="13"/>
        <v>2.3572034507024242E-3</v>
      </c>
      <c r="Q30" s="64">
        <f t="shared" si="14"/>
        <v>5.9756246340256702E-4</v>
      </c>
      <c r="R30" s="271">
        <f t="shared" si="44"/>
        <v>0.22620743203161586</v>
      </c>
      <c r="S30" s="64">
        <f t="shared" si="45"/>
        <v>0.5140744449596768</v>
      </c>
      <c r="T30" s="344">
        <f t="shared" si="42"/>
        <v>5.0933097004029078</v>
      </c>
      <c r="U30" s="279">
        <f t="shared" si="40"/>
        <v>5.3625009286146215</v>
      </c>
      <c r="V30" s="168">
        <f t="shared" si="15"/>
        <v>4.7745213299098257</v>
      </c>
      <c r="W30" s="184">
        <f t="shared" si="16"/>
        <v>0.13669029959709267</v>
      </c>
      <c r="X30" s="457">
        <f t="shared" si="17"/>
        <v>-7.6757672665443906</v>
      </c>
      <c r="Y30" s="72">
        <f t="shared" si="18"/>
        <v>0.75075991630736216</v>
      </c>
      <c r="Z30" s="73">
        <f t="shared" si="19"/>
        <v>0.71164392901291162</v>
      </c>
      <c r="AA30" s="301">
        <f t="shared" si="48"/>
        <v>0.42328785802582325</v>
      </c>
      <c r="AB30" s="69">
        <f t="shared" si="20"/>
        <v>0.39784755015867224</v>
      </c>
      <c r="AC30" s="68">
        <f t="shared" si="21"/>
        <v>0.39784755015867224</v>
      </c>
      <c r="AD30" s="68">
        <f t="shared" si="22"/>
        <v>0.42328785802582325</v>
      </c>
      <c r="AE30" s="23">
        <f t="shared" si="23"/>
        <v>0.91386333001343212</v>
      </c>
      <c r="AF30" s="23">
        <f t="shared" si="24"/>
        <v>0.58765650260129221</v>
      </c>
      <c r="AG30" s="23">
        <f t="shared" si="25"/>
        <v>0.91386333001343212</v>
      </c>
      <c r="AH30" s="23">
        <f t="shared" si="26"/>
        <v>0.58765650260129221</v>
      </c>
      <c r="AI30" s="23">
        <f t="shared" si="27"/>
        <v>0.75075991630736216</v>
      </c>
      <c r="AJ30" s="23">
        <f t="shared" si="28"/>
        <v>0.75075991630736216</v>
      </c>
      <c r="AK30" s="295">
        <f t="shared" si="46"/>
        <v>3.5795191004799699E-4</v>
      </c>
      <c r="AL30" s="70">
        <f t="shared" si="29"/>
        <v>5.23</v>
      </c>
      <c r="AM30" s="191">
        <f t="shared" si="35"/>
        <v>8.2000000000000003E-2</v>
      </c>
      <c r="AN30" s="192">
        <f t="shared" si="41"/>
        <v>8</v>
      </c>
      <c r="AO30" s="71">
        <f t="shared" si="36"/>
        <v>0</v>
      </c>
      <c r="AP30" s="352">
        <f t="shared" si="49"/>
        <v>0</v>
      </c>
      <c r="AQ30" s="353">
        <f t="shared" si="43"/>
        <v>0</v>
      </c>
      <c r="AR30" s="353">
        <f t="shared" si="50"/>
        <v>0</v>
      </c>
    </row>
    <row r="31" spans="1:44" s="74" customFormat="1" ht="15" customHeight="1" x14ac:dyDescent="0.2">
      <c r="A31" s="63">
        <f t="shared" si="39"/>
        <v>9.1000000000000025E-2</v>
      </c>
      <c r="B31" s="64">
        <f t="shared" si="0"/>
        <v>0.32965615585080077</v>
      </c>
      <c r="C31" s="64">
        <f t="shared" si="1"/>
        <v>2.3996561558508005</v>
      </c>
      <c r="D31" s="183">
        <f t="shared" si="2"/>
        <v>-10.716244897959186</v>
      </c>
      <c r="E31" s="64">
        <f t="shared" si="3"/>
        <v>2.0320300000000006E-3</v>
      </c>
      <c r="F31" s="65">
        <f t="shared" si="4"/>
        <v>60172.903918693781</v>
      </c>
      <c r="G31" s="65">
        <f t="shared" si="5"/>
        <v>5494.5054945054926</v>
      </c>
      <c r="H31" s="66">
        <f t="shared" si="6"/>
        <v>102.55827234622888</v>
      </c>
      <c r="I31" s="66">
        <f t="shared" si="7"/>
        <v>110.03870659601836</v>
      </c>
      <c r="J31" s="426">
        <f t="shared" si="8"/>
        <v>3.9472431841512412</v>
      </c>
      <c r="K31" s="253">
        <f t="shared" si="9"/>
        <v>0.27182289359159384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-0.10931159100264569</v>
      </c>
      <c r="P31" s="64">
        <f t="shared" si="13"/>
        <v>2.5196868751054019E-3</v>
      </c>
      <c r="Q31" s="64">
        <f t="shared" si="14"/>
        <v>6.827958031447916E-4</v>
      </c>
      <c r="R31" s="271">
        <f t="shared" si="44"/>
        <v>0.24377518447734645</v>
      </c>
      <c r="S31" s="64">
        <f t="shared" si="45"/>
        <v>0.58957925763370045</v>
      </c>
      <c r="T31" s="344">
        <f t="shared" si="42"/>
        <v>5.4109365779162335</v>
      </c>
      <c r="U31" s="279">
        <f t="shared" si="40"/>
        <v>5.6827594715078273</v>
      </c>
      <c r="V31" s="168">
        <f t="shared" si="15"/>
        <v>5.0812804220654328</v>
      </c>
      <c r="W31" s="184">
        <f t="shared" si="16"/>
        <v>-0.18093657791623308</v>
      </c>
      <c r="X31" s="457">
        <f t="shared" si="17"/>
        <v>-7.7420404440245933</v>
      </c>
      <c r="Y31" s="72">
        <f t="shared" si="18"/>
        <v>0.73512669913259421</v>
      </c>
      <c r="Z31" s="73">
        <f t="shared" si="19"/>
        <v>0.70148637616111564</v>
      </c>
      <c r="AA31" s="301">
        <f t="shared" si="48"/>
        <v>0.40297275232223129</v>
      </c>
      <c r="AB31" s="69">
        <f t="shared" si="20"/>
        <v>0.37852397510367197</v>
      </c>
      <c r="AC31" s="68">
        <f t="shared" si="21"/>
        <v>0.37852397510367197</v>
      </c>
      <c r="AD31" s="68">
        <f t="shared" si="22"/>
        <v>0.40297275232223129</v>
      </c>
      <c r="AE31" s="23">
        <f t="shared" si="23"/>
        <v>0.89483377929310881</v>
      </c>
      <c r="AF31" s="23">
        <f t="shared" si="24"/>
        <v>0.57541961897207961</v>
      </c>
      <c r="AG31" s="23">
        <f t="shared" si="25"/>
        <v>0.89483377929310881</v>
      </c>
      <c r="AH31" s="23">
        <f t="shared" si="26"/>
        <v>0.57541961897207961</v>
      </c>
      <c r="AI31" s="23">
        <f t="shared" si="27"/>
        <v>0.73512669913259421</v>
      </c>
      <c r="AJ31" s="23">
        <f t="shared" si="28"/>
        <v>0.73512669913259421</v>
      </c>
      <c r="AK31" s="295">
        <f t="shared" si="46"/>
        <v>3.4822660909110035E-4</v>
      </c>
      <c r="AL31" s="70">
        <f t="shared" si="29"/>
        <v>5.23</v>
      </c>
      <c r="AM31" s="191">
        <f t="shared" si="35"/>
        <v>8.2000000000000003E-2</v>
      </c>
      <c r="AN31" s="192">
        <f t="shared" si="41"/>
        <v>8</v>
      </c>
      <c r="AO31" s="71">
        <f t="shared" si="36"/>
        <v>0</v>
      </c>
      <c r="AP31" s="352">
        <f t="shared" si="49"/>
        <v>0</v>
      </c>
      <c r="AQ31" s="353">
        <f t="shared" si="43"/>
        <v>0</v>
      </c>
      <c r="AR31" s="353">
        <f t="shared" si="50"/>
        <v>0</v>
      </c>
    </row>
    <row r="32" spans="1:44" s="74" customFormat="1" ht="15" customHeight="1" x14ac:dyDescent="0.2">
      <c r="A32" s="63">
        <f t="shared" si="39"/>
        <v>9.4000000000000028E-2</v>
      </c>
      <c r="B32" s="64">
        <f t="shared" si="0"/>
        <v>0.34052394120851948</v>
      </c>
      <c r="C32" s="64">
        <f t="shared" si="1"/>
        <v>2.4105239412085195</v>
      </c>
      <c r="D32" s="183">
        <f t="shared" si="2"/>
        <v>-11.069527696793005</v>
      </c>
      <c r="E32" s="64">
        <f t="shared" si="3"/>
        <v>2.0990200000000005E-3</v>
      </c>
      <c r="F32" s="65">
        <f t="shared" si="4"/>
        <v>58252.49209150143</v>
      </c>
      <c r="G32" s="65">
        <f t="shared" si="5"/>
        <v>5319.1489361702115</v>
      </c>
      <c r="H32" s="66">
        <f t="shared" si="6"/>
        <v>105.04261967740599</v>
      </c>
      <c r="I32" s="66">
        <f t="shared" si="7"/>
        <v>112.35777530448669</v>
      </c>
      <c r="J32" s="426">
        <f t="shared" si="8"/>
        <v>4.1702357147571281</v>
      </c>
      <c r="K32" s="253">
        <f t="shared" si="9"/>
        <v>0.27492936161429604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-0.11291526982690872</v>
      </c>
      <c r="P32" s="64">
        <f t="shared" si="13"/>
        <v>2.6874844205569182E-3</v>
      </c>
      <c r="Q32" s="64">
        <f t="shared" si="14"/>
        <v>7.7678173323457098E-4</v>
      </c>
      <c r="R32" s="271">
        <f t="shared" si="44"/>
        <v>0.26416760297117958</v>
      </c>
      <c r="S32" s="64">
        <f t="shared" si="45"/>
        <v>0.68173742179352792</v>
      </c>
      <c r="T32" s="344">
        <f t="shared" si="42"/>
        <v>5.7574414624635892</v>
      </c>
      <c r="U32" s="279">
        <f t="shared" si="40"/>
        <v>6.0323708240778853</v>
      </c>
      <c r="V32" s="168">
        <f t="shared" si="15"/>
        <v>5.41691752125507</v>
      </c>
      <c r="W32" s="184">
        <f t="shared" si="16"/>
        <v>-0.52744146246358881</v>
      </c>
      <c r="X32" s="457">
        <f t="shared" si="17"/>
        <v>-7.8194737158861489</v>
      </c>
      <c r="Y32" s="72">
        <f t="shared" si="18"/>
        <v>0.71995365641171416</v>
      </c>
      <c r="Z32" s="73">
        <f t="shared" si="19"/>
        <v>0.69140198297096944</v>
      </c>
      <c r="AA32" s="301">
        <f t="shared" si="48"/>
        <v>0.38280396594193888</v>
      </c>
      <c r="AB32" s="69">
        <f t="shared" si="20"/>
        <v>0.35932173859058114</v>
      </c>
      <c r="AC32" s="68">
        <f t="shared" si="21"/>
        <v>0.35932173859058114</v>
      </c>
      <c r="AD32" s="68">
        <f t="shared" si="22"/>
        <v>0.38280396594193888</v>
      </c>
      <c r="AE32" s="23">
        <f t="shared" si="23"/>
        <v>0.87636437643055276</v>
      </c>
      <c r="AF32" s="23">
        <f t="shared" si="24"/>
        <v>0.56354293639287545</v>
      </c>
      <c r="AG32" s="23">
        <f t="shared" si="25"/>
        <v>0.87636437643055276</v>
      </c>
      <c r="AH32" s="23">
        <f t="shared" si="26"/>
        <v>0.56354293639287545</v>
      </c>
      <c r="AI32" s="23">
        <f t="shared" si="27"/>
        <v>0.71995365641171416</v>
      </c>
      <c r="AJ32" s="23">
        <f t="shared" si="28"/>
        <v>0.71995365641171416</v>
      </c>
      <c r="AK32" s="295">
        <f t="shared" si="46"/>
        <v>3.3896433836186454E-4</v>
      </c>
      <c r="AL32" s="70">
        <f t="shared" si="29"/>
        <v>5.23</v>
      </c>
      <c r="AM32" s="191">
        <f t="shared" si="35"/>
        <v>8.2000000000000003E-2</v>
      </c>
      <c r="AN32" s="192">
        <f t="shared" si="41"/>
        <v>8</v>
      </c>
      <c r="AO32" s="71">
        <f t="shared" si="36"/>
        <v>0</v>
      </c>
      <c r="AP32" s="352">
        <f t="shared" si="49"/>
        <v>0</v>
      </c>
      <c r="AQ32" s="353">
        <f t="shared" si="43"/>
        <v>0</v>
      </c>
      <c r="AR32" s="353">
        <f t="shared" si="50"/>
        <v>0</v>
      </c>
    </row>
    <row r="33" spans="1:49" s="62" customFormat="1" ht="15" customHeight="1" x14ac:dyDescent="0.25">
      <c r="A33" s="51">
        <f t="shared" si="39"/>
        <v>9.7000000000000031E-2</v>
      </c>
      <c r="B33" s="52">
        <f t="shared" si="0"/>
        <v>0.35139172656623818</v>
      </c>
      <c r="C33" s="52">
        <f t="shared" si="1"/>
        <v>2.4213917265662381</v>
      </c>
      <c r="D33" s="180">
        <f t="shared" si="2"/>
        <v>-11.422810495626823</v>
      </c>
      <c r="E33" s="52">
        <f t="shared" si="3"/>
        <v>2.1660100000000008E-3</v>
      </c>
      <c r="F33" s="53">
        <f t="shared" si="4"/>
        <v>56450.868624753959</v>
      </c>
      <c r="G33" s="53">
        <f t="shared" si="5"/>
        <v>5154.6391752577301</v>
      </c>
      <c r="H33" s="54">
        <f t="shared" si="6"/>
        <v>107.54734671785616</v>
      </c>
      <c r="I33" s="54">
        <f t="shared" si="7"/>
        <v>114.70287489305629</v>
      </c>
      <c r="J33" s="425">
        <f t="shared" si="8"/>
        <v>4.4031784789787345</v>
      </c>
      <c r="K33" s="252">
        <f t="shared" si="9"/>
        <v>0.27858842216464197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-0.11651894865117175</v>
      </c>
      <c r="P33" s="52">
        <f t="shared" si="13"/>
        <v>2.8605831202204654E-3</v>
      </c>
      <c r="Q33" s="52">
        <f t="shared" si="14"/>
        <v>8.8008894722511573E-4</v>
      </c>
      <c r="R33" s="268">
        <f t="shared" si="44"/>
        <v>0.28796353890013687</v>
      </c>
      <c r="S33" s="52">
        <f t="shared" si="45"/>
        <v>0.79611570390474751</v>
      </c>
      <c r="T33" s="282">
        <f t="shared" si="42"/>
        <v>6.1395295372970811</v>
      </c>
      <c r="U33" s="278">
        <f t="shared" si="40"/>
        <v>6.418117959461723</v>
      </c>
      <c r="V33" s="181">
        <f t="shared" si="15"/>
        <v>5.7881378107308432</v>
      </c>
      <c r="W33" s="182">
        <f t="shared" si="16"/>
        <v>-0.90952953729708064</v>
      </c>
      <c r="X33" s="456">
        <f t="shared" si="17"/>
        <v>-7.9114298854424252</v>
      </c>
      <c r="Y33" s="59">
        <f t="shared" si="18"/>
        <v>0.70523420822861982</v>
      </c>
      <c r="Z33" s="60">
        <f t="shared" si="19"/>
        <v>0.68140621269218737</v>
      </c>
      <c r="AA33" s="300">
        <f t="shared" si="48"/>
        <v>0.36281242538437475</v>
      </c>
      <c r="AB33" s="56">
        <f t="shared" si="20"/>
        <v>0.34026972483223261</v>
      </c>
      <c r="AC33" s="55">
        <f t="shared" si="21"/>
        <v>0.34026972483223261</v>
      </c>
      <c r="AD33" s="55">
        <f t="shared" si="22"/>
        <v>0.36281242538437475</v>
      </c>
      <c r="AE33" s="61">
        <f t="shared" si="23"/>
        <v>0.85844711201568535</v>
      </c>
      <c r="AF33" s="61">
        <f t="shared" si="24"/>
        <v>0.55202130444155428</v>
      </c>
      <c r="AG33" s="61">
        <f t="shared" si="25"/>
        <v>0.85844711201568535</v>
      </c>
      <c r="AH33" s="61">
        <f t="shared" si="26"/>
        <v>0.55202130444155428</v>
      </c>
      <c r="AI33" s="61">
        <f t="shared" si="27"/>
        <v>0.70523420822861982</v>
      </c>
      <c r="AJ33" s="61">
        <f t="shared" si="28"/>
        <v>0.70523420822861982</v>
      </c>
      <c r="AK33" s="306">
        <f t="shared" si="46"/>
        <v>3.3013701249818666E-4</v>
      </c>
      <c r="AL33" s="57">
        <f t="shared" si="29"/>
        <v>5.23</v>
      </c>
      <c r="AM33" s="190">
        <f t="shared" si="35"/>
        <v>8.2000000000000003E-2</v>
      </c>
      <c r="AN33" s="193">
        <f t="shared" si="41"/>
        <v>8</v>
      </c>
      <c r="AO33" s="58">
        <f t="shared" si="36"/>
        <v>0</v>
      </c>
      <c r="AP33" s="350">
        <f t="shared" si="49"/>
        <v>0</v>
      </c>
      <c r="AQ33" s="351">
        <f t="shared" si="43"/>
        <v>0</v>
      </c>
      <c r="AR33" s="351">
        <f t="shared" si="50"/>
        <v>0</v>
      </c>
    </row>
    <row r="34" spans="1:49" s="74" customFormat="1" ht="15" customHeight="1" x14ac:dyDescent="0.2">
      <c r="A34" s="63">
        <f t="shared" si="39"/>
        <v>0.10000000000000003</v>
      </c>
      <c r="B34" s="64">
        <f t="shared" si="0"/>
        <v>0.36225951192395695</v>
      </c>
      <c r="C34" s="64">
        <f t="shared" si="1"/>
        <v>2.4322595119239567</v>
      </c>
      <c r="D34" s="183">
        <f t="shared" si="2"/>
        <v>-11.776093294460644</v>
      </c>
      <c r="E34" s="64">
        <f t="shared" si="3"/>
        <v>2.2330000000000006E-3</v>
      </c>
      <c r="F34" s="65">
        <f t="shared" si="4"/>
        <v>54757.342566011335</v>
      </c>
      <c r="G34" s="65">
        <f t="shared" si="5"/>
        <v>4999.9999999999982</v>
      </c>
      <c r="H34" s="66">
        <f t="shared" si="6"/>
        <v>110.07106222218017</v>
      </c>
      <c r="I34" s="66">
        <f t="shared" si="7"/>
        <v>117.07244108414422</v>
      </c>
      <c r="J34" s="426">
        <f t="shared" si="8"/>
        <v>4.6467389181694552</v>
      </c>
      <c r="K34" s="253">
        <f t="shared" si="9"/>
        <v>0.28288997991124809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-0.12012262747543481</v>
      </c>
      <c r="P34" s="64">
        <f t="shared" si="13"/>
        <v>3.0389696049214891E-3</v>
      </c>
      <c r="Q34" s="64">
        <f t="shared" si="14"/>
        <v>9.9330233620173979E-4</v>
      </c>
      <c r="R34" s="271">
        <f t="shared" si="44"/>
        <v>0.315908162639707</v>
      </c>
      <c r="S34" s="64">
        <f t="shared" si="45"/>
        <v>0.94109621511036079</v>
      </c>
      <c r="T34" s="344">
        <f t="shared" si="42"/>
        <v>6.5669961101796819</v>
      </c>
      <c r="U34" s="279">
        <f t="shared" si="40"/>
        <v>6.84988609009093</v>
      </c>
      <c r="V34" s="168">
        <f t="shared" si="15"/>
        <v>6.2047365982557245</v>
      </c>
      <c r="W34" s="184">
        <f t="shared" si="16"/>
        <v>-1.3369961101796815</v>
      </c>
      <c r="X34" s="457">
        <f t="shared" si="17"/>
        <v>-8.022845763531496</v>
      </c>
      <c r="Y34" s="72">
        <f t="shared" si="18"/>
        <v>0.69096014747493562</v>
      </c>
      <c r="Z34" s="73">
        <f t="shared" si="19"/>
        <v>0.67151263236888292</v>
      </c>
      <c r="AA34" s="301">
        <f t="shared" si="48"/>
        <v>0.34302526473776584</v>
      </c>
      <c r="AB34" s="69">
        <f t="shared" si="20"/>
        <v>0.32139351556567153</v>
      </c>
      <c r="AC34" s="68">
        <f t="shared" si="21"/>
        <v>0.32139351556567153</v>
      </c>
      <c r="AD34" s="68">
        <f t="shared" si="22"/>
        <v>0.34302526473776584</v>
      </c>
      <c r="AE34" s="23">
        <f t="shared" si="23"/>
        <v>0.84107199593685167</v>
      </c>
      <c r="AF34" s="23">
        <f t="shared" si="24"/>
        <v>0.54084829901301945</v>
      </c>
      <c r="AG34" s="23">
        <f t="shared" si="25"/>
        <v>0.84107199593685167</v>
      </c>
      <c r="AH34" s="23">
        <f t="shared" si="26"/>
        <v>0.54084829901301945</v>
      </c>
      <c r="AI34" s="23">
        <f t="shared" si="27"/>
        <v>0.69096014747493562</v>
      </c>
      <c r="AJ34" s="23">
        <f t="shared" si="28"/>
        <v>0.69096014747493562</v>
      </c>
      <c r="AK34" s="295">
        <f t="shared" si="46"/>
        <v>3.2171828977698547E-4</v>
      </c>
      <c r="AL34" s="70">
        <f t="shared" si="29"/>
        <v>5.23</v>
      </c>
      <c r="AM34" s="191">
        <f t="shared" si="35"/>
        <v>8.2000000000000003E-2</v>
      </c>
      <c r="AN34" s="192">
        <f t="shared" si="41"/>
        <v>8</v>
      </c>
      <c r="AO34" s="71">
        <f t="shared" si="36"/>
        <v>0</v>
      </c>
      <c r="AP34" s="352">
        <f t="shared" si="49"/>
        <v>0</v>
      </c>
      <c r="AQ34" s="353">
        <f t="shared" si="43"/>
        <v>0</v>
      </c>
      <c r="AR34" s="353">
        <f t="shared" si="50"/>
        <v>0</v>
      </c>
    </row>
    <row r="35" spans="1:49" s="74" customFormat="1" ht="15" customHeight="1" x14ac:dyDescent="0.2">
      <c r="A35" s="63">
        <f t="shared" si="39"/>
        <v>0.10300000000000004</v>
      </c>
      <c r="B35" s="64">
        <f t="shared" si="0"/>
        <v>0.37312729728167565</v>
      </c>
      <c r="C35" s="64">
        <f t="shared" si="1"/>
        <v>2.4431272972816753</v>
      </c>
      <c r="D35" s="183">
        <f t="shared" si="2"/>
        <v>-12.129376093294463</v>
      </c>
      <c r="E35" s="64">
        <f t="shared" si="3"/>
        <v>2.2999900000000009E-3</v>
      </c>
      <c r="F35" s="65">
        <f t="shared" si="4"/>
        <v>53162.468510690618</v>
      </c>
      <c r="G35" s="65">
        <f t="shared" si="5"/>
        <v>4854.368932038833</v>
      </c>
      <c r="H35" s="66">
        <f t="shared" si="6"/>
        <v>112.612489567974</v>
      </c>
      <c r="I35" s="66">
        <f t="shared" si="7"/>
        <v>119.46501801522658</v>
      </c>
      <c r="J35" s="426">
        <f t="shared" si="8"/>
        <v>4.901712749988099</v>
      </c>
      <c r="K35" s="253">
        <f t="shared" si="9"/>
        <v>0.28793958488768912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-0.12372630629969784</v>
      </c>
      <c r="P35" s="64">
        <f t="shared" si="13"/>
        <v>3.2226301048682445E-3</v>
      </c>
      <c r="Q35" s="64">
        <f t="shared" si="14"/>
        <v>1.1170227924839366E-3</v>
      </c>
      <c r="R35" s="271">
        <f t="shared" si="44"/>
        <v>0.34897463897841496</v>
      </c>
      <c r="S35" s="64">
        <f t="shared" si="45"/>
        <v>1.1299874792692235</v>
      </c>
      <c r="T35" s="344">
        <f t="shared" si="42"/>
        <v>7.0549191883098974</v>
      </c>
      <c r="U35" s="279">
        <f t="shared" si="40"/>
        <v>7.3428587731975865</v>
      </c>
      <c r="V35" s="168">
        <f t="shared" si="15"/>
        <v>6.6817918910282215</v>
      </c>
      <c r="W35" s="184">
        <f t="shared" si="16"/>
        <v>-1.824919188309897</v>
      </c>
      <c r="X35" s="457">
        <f t="shared" si="17"/>
        <v>-8.1613493777636386</v>
      </c>
      <c r="Y35" s="72">
        <f t="shared" si="18"/>
        <v>0.67712199353990588</v>
      </c>
      <c r="Z35" s="73">
        <f t="shared" si="19"/>
        <v>0.66173303237929859</v>
      </c>
      <c r="AA35" s="301">
        <f t="shared" si="48"/>
        <v>0.32346606475859718</v>
      </c>
      <c r="AB35" s="69">
        <f t="shared" si="20"/>
        <v>0.30271557508569091</v>
      </c>
      <c r="AC35" s="68">
        <f t="shared" si="21"/>
        <v>0.30271557508569091</v>
      </c>
      <c r="AD35" s="68">
        <f t="shared" si="22"/>
        <v>0.32346606475859718</v>
      </c>
      <c r="AE35" s="23">
        <f t="shared" si="23"/>
        <v>0.82422748791023059</v>
      </c>
      <c r="AF35" s="23">
        <f t="shared" si="24"/>
        <v>0.53001649916958116</v>
      </c>
      <c r="AG35" s="23">
        <f t="shared" si="25"/>
        <v>0.82422748791023059</v>
      </c>
      <c r="AH35" s="23">
        <f t="shared" si="26"/>
        <v>0.53001649916958116</v>
      </c>
      <c r="AI35" s="23">
        <f t="shared" si="27"/>
        <v>0.67712199353990588</v>
      </c>
      <c r="AJ35" s="23">
        <f t="shared" si="28"/>
        <v>0.67712199353990588</v>
      </c>
      <c r="AK35" s="295">
        <f t="shared" si="46"/>
        <v>3.1368351453122973E-4</v>
      </c>
      <c r="AL35" s="70">
        <f t="shared" si="29"/>
        <v>5.23</v>
      </c>
      <c r="AM35" s="191">
        <f t="shared" si="35"/>
        <v>8.2000000000000003E-2</v>
      </c>
      <c r="AN35" s="192">
        <f t="shared" si="41"/>
        <v>8</v>
      </c>
      <c r="AO35" s="71">
        <f t="shared" si="36"/>
        <v>0</v>
      </c>
      <c r="AP35" s="352">
        <f t="shared" si="49"/>
        <v>0</v>
      </c>
      <c r="AQ35" s="353">
        <f t="shared" si="43"/>
        <v>0</v>
      </c>
      <c r="AR35" s="353">
        <f t="shared" si="50"/>
        <v>0</v>
      </c>
    </row>
    <row r="36" spans="1:49" s="74" customFormat="1" ht="15" customHeight="1" x14ac:dyDescent="0.2">
      <c r="A36" s="63">
        <f t="shared" si="39"/>
        <v>0.10600000000000004</v>
      </c>
      <c r="B36" s="64">
        <f t="shared" si="0"/>
        <v>0.38399508263939436</v>
      </c>
      <c r="C36" s="64">
        <f t="shared" si="1"/>
        <v>2.4539950826393944</v>
      </c>
      <c r="D36" s="183">
        <f t="shared" si="2"/>
        <v>-12.482658892128283</v>
      </c>
      <c r="E36" s="64">
        <f t="shared" si="3"/>
        <v>2.3669800000000007E-3</v>
      </c>
      <c r="F36" s="65">
        <f t="shared" si="4"/>
        <v>51657.870345293712</v>
      </c>
      <c r="G36" s="65">
        <f t="shared" si="5"/>
        <v>4716.9811320754698</v>
      </c>
      <c r="H36" s="66">
        <f t="shared" si="6"/>
        <v>115.17045623763387</v>
      </c>
      <c r="I36" s="66">
        <f t="shared" si="7"/>
        <v>121.87925054194459</v>
      </c>
      <c r="J36" s="426">
        <f t="shared" si="8"/>
        <v>5.169048915521099</v>
      </c>
      <c r="K36" s="253">
        <f t="shared" si="9"/>
        <v>0.29386311169510115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-0.1273299851239609</v>
      </c>
      <c r="P36" s="64">
        <f t="shared" si="13"/>
        <v>3.4115504514231625E-3</v>
      </c>
      <c r="Q36" s="64">
        <f t="shared" si="14"/>
        <v>1.251867009949214E-3</v>
      </c>
      <c r="R36" s="271">
        <f t="shared" si="44"/>
        <v>0.38845516032282151</v>
      </c>
      <c r="S36" s="64">
        <f t="shared" si="45"/>
        <v>1.385485519888412</v>
      </c>
      <c r="T36" s="344">
        <f t="shared" si="42"/>
        <v>7.6282365453816761</v>
      </c>
      <c r="U36" s="279">
        <f t="shared" si="40"/>
        <v>7.9220996570767772</v>
      </c>
      <c r="V36" s="168">
        <f t="shared" si="15"/>
        <v>7.2442414627422815</v>
      </c>
      <c r="W36" s="184">
        <f t="shared" si="16"/>
        <v>-2.3982365453816756</v>
      </c>
      <c r="X36" s="457">
        <f t="shared" si="17"/>
        <v>-8.3395815489928218</v>
      </c>
      <c r="Y36" s="72">
        <f t="shared" si="18"/>
        <v>0.6637092925748832</v>
      </c>
      <c r="Z36" s="73">
        <f t="shared" si="19"/>
        <v>0.65207755190558159</v>
      </c>
      <c r="AA36" s="301">
        <f t="shared" si="48"/>
        <v>0.30415510381116317</v>
      </c>
      <c r="AB36" s="69">
        <f t="shared" si="20"/>
        <v>0.28425544813861947</v>
      </c>
      <c r="AC36" s="68">
        <f t="shared" si="21"/>
        <v>0.28425544813861947</v>
      </c>
      <c r="AD36" s="68">
        <f t="shared" si="22"/>
        <v>0.30415510381116317</v>
      </c>
      <c r="AE36" s="23">
        <f t="shared" si="23"/>
        <v>0.80790086297711172</v>
      </c>
      <c r="AF36" s="23">
        <f t="shared" si="24"/>
        <v>0.51951772217265468</v>
      </c>
      <c r="AG36" s="23">
        <f t="shared" si="25"/>
        <v>0.80790086297711172</v>
      </c>
      <c r="AH36" s="23">
        <f t="shared" si="26"/>
        <v>0.51951772217265468</v>
      </c>
      <c r="AI36" s="23">
        <f t="shared" si="27"/>
        <v>0.6637092925748832</v>
      </c>
      <c r="AJ36" s="23">
        <f t="shared" si="28"/>
        <v>0.6637092925748832</v>
      </c>
      <c r="AK36" s="295">
        <f t="shared" si="46"/>
        <v>3.0600964433971086E-4</v>
      </c>
      <c r="AL36" s="70">
        <f t="shared" si="29"/>
        <v>5.23</v>
      </c>
      <c r="AM36" s="191">
        <f t="shared" si="35"/>
        <v>8.2000000000000003E-2</v>
      </c>
      <c r="AN36" s="192">
        <f t="shared" si="41"/>
        <v>8</v>
      </c>
      <c r="AO36" s="71">
        <f t="shared" si="36"/>
        <v>0</v>
      </c>
      <c r="AP36" s="352">
        <f t="shared" si="49"/>
        <v>0</v>
      </c>
      <c r="AQ36" s="353">
        <f t="shared" si="43"/>
        <v>0</v>
      </c>
      <c r="AR36" s="353">
        <f t="shared" si="50"/>
        <v>0</v>
      </c>
    </row>
    <row r="37" spans="1:49" s="74" customFormat="1" ht="15" customHeight="1" x14ac:dyDescent="0.2">
      <c r="A37" s="63">
        <f t="shared" si="39"/>
        <v>0.10900000000000004</v>
      </c>
      <c r="B37" s="64">
        <f t="shared" si="0"/>
        <v>0.39486286799711307</v>
      </c>
      <c r="C37" s="64">
        <f t="shared" si="1"/>
        <v>2.464862867997113</v>
      </c>
      <c r="D37" s="183">
        <f t="shared" si="2"/>
        <v>-12.835941690962102</v>
      </c>
      <c r="E37" s="64">
        <f t="shared" si="3"/>
        <v>2.433970000000001E-3</v>
      </c>
      <c r="F37" s="65">
        <f t="shared" si="4"/>
        <v>50236.094097258101</v>
      </c>
      <c r="G37" s="65">
        <f t="shared" si="5"/>
        <v>4587.1559633027509</v>
      </c>
      <c r="H37" s="66">
        <f t="shared" si="6"/>
        <v>117.74388429375904</v>
      </c>
      <c r="I37" s="66">
        <f t="shared" si="7"/>
        <v>124.31387698589195</v>
      </c>
      <c r="J37" s="426">
        <f t="shared" si="8"/>
        <v>5.4498813882986319</v>
      </c>
      <c r="K37" s="253">
        <f t="shared" si="9"/>
        <v>0.30081304344404902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-0.13093366394822395</v>
      </c>
      <c r="P37" s="64">
        <f t="shared" si="13"/>
        <v>3.6057160789246239E-3</v>
      </c>
      <c r="Q37" s="64">
        <f t="shared" si="14"/>
        <v>1.3984672812268188E-3</v>
      </c>
      <c r="R37" s="271">
        <f t="shared" si="44"/>
        <v>0.43609901643601501</v>
      </c>
      <c r="S37" s="64">
        <f t="shared" si="45"/>
        <v>1.7504677661962098</v>
      </c>
      <c r="T37" s="344">
        <f t="shared" si="42"/>
        <v>8.3327095062091967</v>
      </c>
      <c r="U37" s="279">
        <f t="shared" si="40"/>
        <v>8.6335225496532466</v>
      </c>
      <c r="V37" s="168">
        <f t="shared" si="15"/>
        <v>7.9378466382120836</v>
      </c>
      <c r="W37" s="184">
        <f t="shared" si="16"/>
        <v>-3.1027095062091963</v>
      </c>
      <c r="X37" s="457">
        <f t="shared" si="17"/>
        <v>-8.5807309138889121</v>
      </c>
      <c r="Y37" s="72">
        <f t="shared" si="18"/>
        <v>0.65071087088637147</v>
      </c>
      <c r="Z37" s="73">
        <f t="shared" si="19"/>
        <v>0.64255480668675402</v>
      </c>
      <c r="AA37" s="301">
        <f t="shared" si="48"/>
        <v>0.28510961337350804</v>
      </c>
      <c r="AB37" s="69">
        <f t="shared" si="20"/>
        <v>0.26602996470194507</v>
      </c>
      <c r="AC37" s="68">
        <f t="shared" si="21"/>
        <v>0.26602996470194507</v>
      </c>
      <c r="AD37" s="68">
        <f t="shared" si="22"/>
        <v>0.28510961337350804</v>
      </c>
      <c r="AE37" s="23">
        <f t="shared" si="23"/>
        <v>0.79207851994685474</v>
      </c>
      <c r="AF37" s="23">
        <f t="shared" si="24"/>
        <v>0.5093432218258882</v>
      </c>
      <c r="AG37" s="23">
        <f t="shared" si="25"/>
        <v>0.79207851994685474</v>
      </c>
      <c r="AH37" s="23">
        <f t="shared" si="26"/>
        <v>0.5093432218258882</v>
      </c>
      <c r="AI37" s="23">
        <f t="shared" si="27"/>
        <v>0.65071087088637147</v>
      </c>
      <c r="AJ37" s="23">
        <f t="shared" si="28"/>
        <v>0.65071087088637147</v>
      </c>
      <c r="AK37" s="295">
        <f t="shared" si="46"/>
        <v>2.9867516809105066E-4</v>
      </c>
      <c r="AL37" s="70">
        <f t="shared" si="29"/>
        <v>5.23</v>
      </c>
      <c r="AM37" s="191">
        <f t="shared" si="35"/>
        <v>8.2000000000000003E-2</v>
      </c>
      <c r="AN37" s="192">
        <f t="shared" si="41"/>
        <v>8</v>
      </c>
      <c r="AO37" s="71">
        <f t="shared" si="36"/>
        <v>0</v>
      </c>
      <c r="AP37" s="352">
        <f t="shared" si="49"/>
        <v>0</v>
      </c>
      <c r="AQ37" s="353">
        <f t="shared" si="43"/>
        <v>0</v>
      </c>
      <c r="AR37" s="353">
        <f t="shared" si="50"/>
        <v>0</v>
      </c>
    </row>
    <row r="38" spans="1:49" s="85" customFormat="1" ht="15" customHeight="1" x14ac:dyDescent="0.25">
      <c r="A38" s="75">
        <f t="shared" si="39"/>
        <v>0.11200000000000004</v>
      </c>
      <c r="B38" s="76">
        <f t="shared" si="0"/>
        <v>0.40573065335483177</v>
      </c>
      <c r="C38" s="76">
        <f t="shared" si="1"/>
        <v>2.4757306533548316</v>
      </c>
      <c r="D38" s="185">
        <f t="shared" si="2"/>
        <v>-13.189224489795922</v>
      </c>
      <c r="E38" s="76">
        <f t="shared" si="3"/>
        <v>2.5009600000000009E-3</v>
      </c>
      <c r="F38" s="77">
        <f t="shared" si="4"/>
        <v>48890.484433938691</v>
      </c>
      <c r="G38" s="77">
        <f t="shared" si="5"/>
        <v>4464.2857142857129</v>
      </c>
      <c r="H38" s="78">
        <f t="shared" si="6"/>
        <v>120.33178176395955</v>
      </c>
      <c r="I38" s="78">
        <f t="shared" si="7"/>
        <v>126.76772233171403</v>
      </c>
      <c r="J38" s="427">
        <f t="shared" si="8"/>
        <v>5.7455702955608787</v>
      </c>
      <c r="K38" s="254">
        <f t="shared" si="9"/>
        <v>0.30897704451226371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-0.134537342772487</v>
      </c>
      <c r="P38" s="76">
        <f t="shared" si="13"/>
        <v>3.8051120265584449E-3</v>
      </c>
      <c r="Q38" s="76">
        <f t="shared" si="14"/>
        <v>1.5574712919647698E-3</v>
      </c>
      <c r="R38" s="257">
        <f>10*LOG10(1/SQRT(1-AK38*(Q/AA38)^2))</f>
        <v>0.49432877232302713</v>
      </c>
      <c r="S38" s="76">
        <f>-10*LOG10(AA38*SQRT(1-Q*Q*((SD_blw^2+AK38)/AA38^2+Vmn+(P38*P38))))-$T$13-J38-L38-Q38-N38-R38-Pmn</f>
        <v>2.3200949237656356</v>
      </c>
      <c r="T38" s="283">
        <f t="shared" si="42"/>
        <v>9.2672821162963395</v>
      </c>
      <c r="U38" s="280">
        <f t="shared" si="40"/>
        <v>9.5762591608086023</v>
      </c>
      <c r="V38" s="186">
        <f t="shared" si="15"/>
        <v>8.8615514629415078</v>
      </c>
      <c r="W38" s="187">
        <f t="shared" si="16"/>
        <v>-4.037282116296339</v>
      </c>
      <c r="X38" s="458">
        <f t="shared" si="17"/>
        <v>-8.9348010379290912</v>
      </c>
      <c r="Y38" s="80">
        <f t="shared" si="18"/>
        <v>0.63811504749670656</v>
      </c>
      <c r="Z38" s="83">
        <f t="shared" si="19"/>
        <v>0.63317201615277763</v>
      </c>
      <c r="AA38" s="300">
        <f t="shared" si="48"/>
        <v>0.26634403230555526</v>
      </c>
      <c r="AB38" s="79">
        <f t="shared" si="20"/>
        <v>0.24805344673504415</v>
      </c>
      <c r="AC38" s="80">
        <f t="shared" si="21"/>
        <v>0.24805344673504415</v>
      </c>
      <c r="AD38" s="80">
        <f t="shared" si="22"/>
        <v>0.26634403230555526</v>
      </c>
      <c r="AE38" s="84">
        <f t="shared" si="23"/>
        <v>0.77674624013661009</v>
      </c>
      <c r="AF38" s="84">
        <f t="shared" si="24"/>
        <v>0.49948385485680297</v>
      </c>
      <c r="AG38" s="84">
        <f t="shared" si="25"/>
        <v>0.77674624013661009</v>
      </c>
      <c r="AH38" s="84">
        <f t="shared" si="26"/>
        <v>0.49948385485680297</v>
      </c>
      <c r="AI38" s="84">
        <f t="shared" si="27"/>
        <v>0.63811504749670656</v>
      </c>
      <c r="AJ38" s="84">
        <f t="shared" si="28"/>
        <v>0.63811504749670656</v>
      </c>
      <c r="AK38" s="387">
        <f t="shared" si="46"/>
        <v>2.9166001936314895E-4</v>
      </c>
      <c r="AL38" s="81">
        <f t="shared" si="29"/>
        <v>5.23</v>
      </c>
      <c r="AM38" s="194">
        <f t="shared" si="35"/>
        <v>8.2000000000000003E-2</v>
      </c>
      <c r="AN38" s="195">
        <f>ROUNDUP(L6,0)</f>
        <v>8</v>
      </c>
      <c r="AO38" s="82">
        <f t="shared" si="36"/>
        <v>0</v>
      </c>
      <c r="AP38" s="354">
        <f t="shared" si="4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0.70313667907645172</v>
      </c>
      <c r="AP39" s="355">
        <f>SUM(AP18:AP38)</f>
        <v>103.25512808105974</v>
      </c>
      <c r="AQ39" s="356">
        <f>SUM(AQ18:AQ38)</f>
        <v>0.77143340330222199</v>
      </c>
      <c r="AR39" s="356">
        <f>SUM(AR18:AR38)</f>
        <v>0.77143340330222199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1">0.5+(-0.5+Z41)*$Y$44</f>
        <v>-0.3146916052819172</v>
      </c>
      <c r="AB41" s="294">
        <f>MAX(MIN(B_1*Tb_eff*($AA41)/(SQRT(2)*$AG$9),10),-10)</f>
        <v>-0.7386513947887352</v>
      </c>
      <c r="AC41" s="294">
        <f>MAX(MIN(B_1*Tb_eff*(1-$AA41)/(SQRT(2)*$AG$9),10),-10)</f>
        <v>3.0858744614066476</v>
      </c>
      <c r="AD41" s="315">
        <f t="shared" ref="AD41:AD71" si="52">(ERF(AB41)+1)/2</f>
        <v>0.14810143829914296</v>
      </c>
      <c r="AE41" s="315">
        <f t="shared" ref="AE41:AE71" si="53">(ERF(AC41)+1)/2</f>
        <v>0.99999361721813584</v>
      </c>
      <c r="AF41" s="316">
        <f t="shared" ref="AF41:AF71" si="54">AD41+AE41-1</f>
        <v>0.14809505551727886</v>
      </c>
      <c r="AG41" s="316">
        <f t="shared" ref="AG41:AG71" si="55">1-AD41</f>
        <v>0.85189856170085698</v>
      </c>
      <c r="AH41" s="316">
        <f t="shared" ref="AH41:AH71" si="56">1-AE41</f>
        <v>6.382781864155973E-6</v>
      </c>
      <c r="AI41" s="316">
        <f t="shared" ref="AI41:AI71" si="57">1-AF41</f>
        <v>0.85190494448272114</v>
      </c>
      <c r="AJ41" s="294">
        <f t="shared" ref="AJ41:AJ71" si="58">Z41-1</f>
        <v>-1.25</v>
      </c>
      <c r="AK41" s="294">
        <f t="shared" ref="AK41:AK71" si="59">Z41+1</f>
        <v>0.75</v>
      </c>
      <c r="AL41" s="294">
        <f t="shared" ref="AL41:AL71" si="60">$Z41-$G$9/(2*$Y$44)</f>
        <v>-0.25</v>
      </c>
      <c r="AM41" s="313">
        <f t="shared" ref="AM41:AM71" si="61">$Z41+$G$9/(2*$Y$44)</f>
        <v>-0.25</v>
      </c>
      <c r="AN41" s="294">
        <f>$C$12</f>
        <v>0.3</v>
      </c>
      <c r="AO41" s="323">
        <v>0.5</v>
      </c>
      <c r="AP41" s="314">
        <f>MAX(MIN(B_1*Tb_eff*($AA41)/(SQRT(2)*$AP$39),10),-10)</f>
        <v>-0.49307297179906751</v>
      </c>
      <c r="AQ41" s="294">
        <f t="shared" ref="AQ41:AQ69" si="62">MAX(MIN(B_1*Tb_eff*(1-$AA41)/(SQRT(2)*$AP$39),10),-10)</f>
        <v>2.0599179829881873</v>
      </c>
      <c r="AR41" s="315">
        <f t="shared" ref="AR41:AR69" si="63">(ERF(AP41)+1)/2</f>
        <v>0.24280425420924745</v>
      </c>
      <c r="AS41" s="315">
        <f t="shared" ref="AS41:AS69" si="64">(ERF(AQ41)+1)/2</f>
        <v>0.99821106649378311</v>
      </c>
      <c r="AT41" s="316">
        <f t="shared" ref="AT41:AT69" si="65">AR41+AS41-1</f>
        <v>0.24101532070303056</v>
      </c>
      <c r="AU41" s="316">
        <f t="shared" ref="AU41:AW69" si="66">1-AR41</f>
        <v>0.75719574579075255</v>
      </c>
      <c r="AV41" s="316">
        <f t="shared" si="66"/>
        <v>1.7889335062168943E-3</v>
      </c>
      <c r="AW41" s="338">
        <f t="shared" si="66"/>
        <v>0.75898467929696944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7">Z41+$Y$42</f>
        <v>-0.2</v>
      </c>
      <c r="AA42" s="294">
        <f t="shared" si="51"/>
        <v>-0.26037883159645603</v>
      </c>
      <c r="AB42" s="294">
        <f t="shared" ref="AB42:AB71" si="68">MAX(MIN(B_1*Tb_eff*($AA42)/(SQRT(2)*$AG$9),10),-10)</f>
        <v>-0.61116719958222243</v>
      </c>
      <c r="AC42" s="294">
        <f>MAX(MIN(B_1*Tb_eff*(1-$AA42)/(SQRT(2)*$AG$9),10),-10)</f>
        <v>2.9583902662001345</v>
      </c>
      <c r="AD42" s="315">
        <f t="shared" si="52"/>
        <v>0.19370580435912554</v>
      </c>
      <c r="AE42" s="315">
        <f t="shared" si="53"/>
        <v>0.99998566590761317</v>
      </c>
      <c r="AF42" s="316">
        <f t="shared" si="54"/>
        <v>0.19369147026673872</v>
      </c>
      <c r="AG42" s="316">
        <f t="shared" si="55"/>
        <v>0.80629419564087446</v>
      </c>
      <c r="AH42" s="316">
        <f t="shared" si="56"/>
        <v>1.4334092386825148E-5</v>
      </c>
      <c r="AI42" s="316">
        <f t="shared" si="57"/>
        <v>0.80630852973326128</v>
      </c>
      <c r="AJ42" s="294">
        <f t="shared" si="58"/>
        <v>-1.2</v>
      </c>
      <c r="AK42" s="294">
        <f t="shared" si="59"/>
        <v>0.8</v>
      </c>
      <c r="AL42" s="294">
        <f t="shared" si="60"/>
        <v>-0.2</v>
      </c>
      <c r="AM42" s="313">
        <f t="shared" si="61"/>
        <v>-0.2</v>
      </c>
      <c r="AN42" s="294">
        <f>$C$13</f>
        <v>0.4</v>
      </c>
      <c r="AO42" s="323">
        <f>$C$14</f>
        <v>0.25</v>
      </c>
      <c r="AP42" s="314">
        <f t="shared" ref="AP42:AP69" si="69">MAX(MIN(B_1*Tb_eff*($AA42)/(SQRT(2)*$AP$39),10),-10)</f>
        <v>-0.40797327330615901</v>
      </c>
      <c r="AQ42" s="294">
        <f t="shared" si="62"/>
        <v>1.9748182844952784</v>
      </c>
      <c r="AR42" s="315">
        <f t="shared" si="63"/>
        <v>0.28198278721096703</v>
      </c>
      <c r="AS42" s="315">
        <f t="shared" si="64"/>
        <v>0.9973874201044125</v>
      </c>
      <c r="AT42" s="316">
        <f t="shared" si="65"/>
        <v>0.27937020731537965</v>
      </c>
      <c r="AU42" s="316">
        <f t="shared" si="66"/>
        <v>0.71801721278903297</v>
      </c>
      <c r="AV42" s="316">
        <f t="shared" si="66"/>
        <v>2.6125798955874968E-3</v>
      </c>
      <c r="AW42" s="338">
        <f t="shared" si="66"/>
        <v>0.72062979268462035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7"/>
        <v>-0.15000000000000002</v>
      </c>
      <c r="AA43" s="294">
        <f t="shared" si="51"/>
        <v>-0.20606605791099497</v>
      </c>
      <c r="AB43" s="294">
        <f t="shared" si="68"/>
        <v>-0.48368300437570988</v>
      </c>
      <c r="AC43" s="294">
        <f t="shared" ref="AC43:AC71" si="70">MAX(MIN(B_1*Tb_eff*(1-$AA43)/(SQRT(2)*$AG$9),10),-10)</f>
        <v>2.8309060709936222</v>
      </c>
      <c r="AD43" s="315">
        <f t="shared" si="52"/>
        <v>0.24697777493834139</v>
      </c>
      <c r="AE43" s="315">
        <f t="shared" si="53"/>
        <v>0.99996879465947108</v>
      </c>
      <c r="AF43" s="316">
        <f t="shared" si="54"/>
        <v>0.24694656959781236</v>
      </c>
      <c r="AG43" s="316">
        <f t="shared" si="55"/>
        <v>0.75302222506165861</v>
      </c>
      <c r="AH43" s="316">
        <f t="shared" si="56"/>
        <v>3.1205340528916992E-5</v>
      </c>
      <c r="AI43" s="316">
        <f t="shared" si="57"/>
        <v>0.75305343040218764</v>
      </c>
      <c r="AJ43" s="294">
        <f t="shared" si="58"/>
        <v>-1.1499999999999999</v>
      </c>
      <c r="AK43" s="294">
        <f t="shared" si="59"/>
        <v>0.85</v>
      </c>
      <c r="AL43" s="294">
        <f t="shared" si="60"/>
        <v>-0.15000000000000002</v>
      </c>
      <c r="AM43" s="313">
        <f t="shared" si="61"/>
        <v>-0.15000000000000002</v>
      </c>
      <c r="AN43" s="294">
        <f>1-AN42</f>
        <v>0.6</v>
      </c>
      <c r="AO43" s="323">
        <f>$C$14</f>
        <v>0.25</v>
      </c>
      <c r="AP43" s="314">
        <f t="shared" si="69"/>
        <v>-0.32287357481325069</v>
      </c>
      <c r="AQ43" s="294">
        <f t="shared" si="62"/>
        <v>1.8897185860023702</v>
      </c>
      <c r="AR43" s="315">
        <f t="shared" si="63"/>
        <v>0.32397490848185284</v>
      </c>
      <c r="AS43" s="315">
        <f t="shared" si="64"/>
        <v>0.99623519589232123</v>
      </c>
      <c r="AT43" s="316">
        <f t="shared" si="65"/>
        <v>0.32021010437417408</v>
      </c>
      <c r="AU43" s="316">
        <f t="shared" si="66"/>
        <v>0.67602509151814716</v>
      </c>
      <c r="AV43" s="316">
        <f t="shared" si="66"/>
        <v>3.7648041076787653E-3</v>
      </c>
      <c r="AW43" s="338">
        <f t="shared" si="66"/>
        <v>0.67978989562582592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1.0862554737092229</v>
      </c>
      <c r="Z44" s="294">
        <f t="shared" si="67"/>
        <v>-0.10000000000000002</v>
      </c>
      <c r="AA44" s="294">
        <f t="shared" si="51"/>
        <v>-0.15175328422553369</v>
      </c>
      <c r="AB44" s="294">
        <f t="shared" si="68"/>
        <v>-0.35619880916919683</v>
      </c>
      <c r="AC44" s="294">
        <f t="shared" si="70"/>
        <v>2.7034218757871087</v>
      </c>
      <c r="AD44" s="315">
        <f t="shared" si="52"/>
        <v>0.30722163078201414</v>
      </c>
      <c r="AE44" s="315">
        <f t="shared" si="53"/>
        <v>0.99993413882246451</v>
      </c>
      <c r="AF44" s="316">
        <f t="shared" si="54"/>
        <v>0.30715576960447866</v>
      </c>
      <c r="AG44" s="316">
        <f t="shared" si="55"/>
        <v>0.69277836921798586</v>
      </c>
      <c r="AH44" s="316">
        <f t="shared" si="56"/>
        <v>6.5861177535486704E-5</v>
      </c>
      <c r="AI44" s="316">
        <f t="shared" si="57"/>
        <v>0.69284423039552134</v>
      </c>
      <c r="AJ44" s="294">
        <f t="shared" si="58"/>
        <v>-1.1000000000000001</v>
      </c>
      <c r="AK44" s="294">
        <f t="shared" si="59"/>
        <v>0.9</v>
      </c>
      <c r="AL44" s="294">
        <f t="shared" si="60"/>
        <v>-0.10000000000000002</v>
      </c>
      <c r="AM44" s="313">
        <f t="shared" si="61"/>
        <v>-0.10000000000000002</v>
      </c>
      <c r="AN44" s="294">
        <f>1-AN41</f>
        <v>0.7</v>
      </c>
      <c r="AO44" s="323">
        <v>0.5</v>
      </c>
      <c r="AP44" s="314">
        <f t="shared" si="69"/>
        <v>-0.23777387632034197</v>
      </c>
      <c r="AQ44" s="294">
        <f t="shared" si="62"/>
        <v>1.8046188875094613</v>
      </c>
      <c r="AR44" s="315">
        <f t="shared" si="63"/>
        <v>0.36833625903388373</v>
      </c>
      <c r="AS44" s="315">
        <f t="shared" si="64"/>
        <v>0.99464646457163264</v>
      </c>
      <c r="AT44" s="316">
        <f t="shared" si="65"/>
        <v>0.36298272360551631</v>
      </c>
      <c r="AU44" s="316">
        <f t="shared" si="66"/>
        <v>0.63166374096611633</v>
      </c>
      <c r="AV44" s="316">
        <f t="shared" si="66"/>
        <v>5.353535428367362E-3</v>
      </c>
      <c r="AW44" s="338">
        <f t="shared" si="66"/>
        <v>0.63701727639448369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7"/>
        <v>-5.0000000000000017E-2</v>
      </c>
      <c r="AA45" s="294">
        <f t="shared" si="51"/>
        <v>-9.7440510540072633E-2</v>
      </c>
      <c r="AB45" s="294">
        <f t="shared" si="68"/>
        <v>-0.22871461396268425</v>
      </c>
      <c r="AC45" s="294">
        <f t="shared" si="70"/>
        <v>2.5759376805805965</v>
      </c>
      <c r="AD45" s="315">
        <f t="shared" si="52"/>
        <v>0.37317673852105016</v>
      </c>
      <c r="AE45" s="315">
        <f t="shared" si="53"/>
        <v>0.99986522182659432</v>
      </c>
      <c r="AF45" s="316">
        <f t="shared" si="54"/>
        <v>0.37304196034764447</v>
      </c>
      <c r="AG45" s="316">
        <f t="shared" si="55"/>
        <v>0.62682326147894984</v>
      </c>
      <c r="AH45" s="316">
        <f t="shared" si="56"/>
        <v>1.3477817340568077E-4</v>
      </c>
      <c r="AI45" s="316">
        <f t="shared" si="57"/>
        <v>0.62695803965235553</v>
      </c>
      <c r="AJ45" s="294">
        <f t="shared" si="58"/>
        <v>-1.05</v>
      </c>
      <c r="AK45" s="294">
        <f t="shared" si="59"/>
        <v>0.95</v>
      </c>
      <c r="AL45" s="294">
        <f t="shared" si="60"/>
        <v>-5.0000000000000017E-2</v>
      </c>
      <c r="AM45" s="313">
        <f t="shared" si="61"/>
        <v>-5.0000000000000017E-2</v>
      </c>
      <c r="AN45" s="294">
        <f>AN43</f>
        <v>0.6</v>
      </c>
      <c r="AO45" s="323">
        <f>1-$C$14</f>
        <v>0.75</v>
      </c>
      <c r="AP45" s="314">
        <f t="shared" si="69"/>
        <v>-0.15267417782743362</v>
      </c>
      <c r="AQ45" s="294">
        <f t="shared" si="62"/>
        <v>1.7195191890165531</v>
      </c>
      <c r="AR45" s="315">
        <f t="shared" si="63"/>
        <v>0.41452743377117429</v>
      </c>
      <c r="AS45" s="315">
        <f t="shared" si="64"/>
        <v>0.99248732267916795</v>
      </c>
      <c r="AT45" s="316">
        <f t="shared" si="65"/>
        <v>0.40701475645034213</v>
      </c>
      <c r="AU45" s="316">
        <f t="shared" si="66"/>
        <v>0.58547256622882571</v>
      </c>
      <c r="AV45" s="316">
        <f t="shared" si="66"/>
        <v>7.5126773208320508E-3</v>
      </c>
      <c r="AW45" s="338">
        <f t="shared" si="66"/>
        <v>0.59298524354965787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7"/>
        <v>0</v>
      </c>
      <c r="AA46" s="294">
        <f t="shared" si="51"/>
        <v>-4.3127736854611465E-2</v>
      </c>
      <c r="AB46" s="294">
        <f t="shared" si="68"/>
        <v>-0.10123041875617146</v>
      </c>
      <c r="AC46" s="294">
        <f t="shared" si="70"/>
        <v>2.4484534853740834</v>
      </c>
      <c r="AD46" s="315">
        <f t="shared" si="52"/>
        <v>0.44308134474993371</v>
      </c>
      <c r="AE46" s="315">
        <f t="shared" si="53"/>
        <v>0.99973254437158954</v>
      </c>
      <c r="AF46" s="316">
        <f t="shared" si="54"/>
        <v>0.4428138891215232</v>
      </c>
      <c r="AG46" s="316">
        <f t="shared" si="55"/>
        <v>0.55691865525006623</v>
      </c>
      <c r="AH46" s="316">
        <f t="shared" si="56"/>
        <v>2.6745562841046233E-4</v>
      </c>
      <c r="AI46" s="316">
        <f t="shared" si="57"/>
        <v>0.5571861108784768</v>
      </c>
      <c r="AJ46" s="294">
        <f t="shared" si="58"/>
        <v>-1</v>
      </c>
      <c r="AK46" s="294">
        <f t="shared" si="59"/>
        <v>1</v>
      </c>
      <c r="AL46" s="294">
        <f t="shared" si="60"/>
        <v>0</v>
      </c>
      <c r="AM46" s="313">
        <f t="shared" si="61"/>
        <v>0</v>
      </c>
      <c r="AN46" s="294">
        <f>AN42</f>
        <v>0.4</v>
      </c>
      <c r="AO46" s="323">
        <f>AO45</f>
        <v>0.75</v>
      </c>
      <c r="AP46" s="314">
        <f t="shared" si="69"/>
        <v>-6.7574479334525095E-2</v>
      </c>
      <c r="AQ46" s="294">
        <f t="shared" si="62"/>
        <v>1.6344194905236444</v>
      </c>
      <c r="AR46" s="315">
        <f t="shared" si="63"/>
        <v>0.4619331331522184</v>
      </c>
      <c r="AS46" s="315">
        <f t="shared" si="64"/>
        <v>0.98959511696700986</v>
      </c>
      <c r="AT46" s="316">
        <f t="shared" si="65"/>
        <v>0.45152825011922815</v>
      </c>
      <c r="AU46" s="316">
        <f t="shared" si="66"/>
        <v>0.5380668668477816</v>
      </c>
      <c r="AV46" s="316">
        <f t="shared" si="66"/>
        <v>1.0404883032990142E-2</v>
      </c>
      <c r="AW46" s="338">
        <f t="shared" si="66"/>
        <v>0.54847174988077185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7"/>
        <v>0.05</v>
      </c>
      <c r="AA47" s="294">
        <f t="shared" si="51"/>
        <v>1.1185036830849648E-2</v>
      </c>
      <c r="AB47" s="294">
        <f t="shared" si="68"/>
        <v>2.6253776450341205E-2</v>
      </c>
      <c r="AC47" s="294">
        <f t="shared" si="70"/>
        <v>2.3209692901675707</v>
      </c>
      <c r="AD47" s="315">
        <f t="shared" si="52"/>
        <v>0.51480870477080842</v>
      </c>
      <c r="AE47" s="315">
        <f t="shared" si="53"/>
        <v>0.99948526445021102</v>
      </c>
      <c r="AF47" s="316">
        <f t="shared" si="54"/>
        <v>0.51429396922101933</v>
      </c>
      <c r="AG47" s="316">
        <f t="shared" si="55"/>
        <v>0.48519129522919158</v>
      </c>
      <c r="AH47" s="316">
        <f t="shared" si="56"/>
        <v>5.1473554978898051E-4</v>
      </c>
      <c r="AI47" s="316">
        <f t="shared" si="57"/>
        <v>0.48570603077898067</v>
      </c>
      <c r="AJ47" s="294">
        <f t="shared" si="58"/>
        <v>-0.95</v>
      </c>
      <c r="AK47" s="294">
        <f t="shared" si="59"/>
        <v>1.05</v>
      </c>
      <c r="AL47" s="294">
        <f t="shared" si="60"/>
        <v>0.05</v>
      </c>
      <c r="AM47" s="313">
        <f t="shared" si="61"/>
        <v>0.05</v>
      </c>
      <c r="AN47" s="319">
        <f>AN41</f>
        <v>0.3</v>
      </c>
      <c r="AO47" s="324">
        <v>0.5</v>
      </c>
      <c r="AP47" s="314">
        <f t="shared" si="69"/>
        <v>1.7525219158383329E-2</v>
      </c>
      <c r="AQ47" s="294">
        <f t="shared" si="62"/>
        <v>1.549319792030736</v>
      </c>
      <c r="AR47" s="315">
        <f t="shared" si="63"/>
        <v>0.50988653392690575</v>
      </c>
      <c r="AS47" s="315">
        <f t="shared" si="64"/>
        <v>0.98577660243527143</v>
      </c>
      <c r="AT47" s="316">
        <f t="shared" si="65"/>
        <v>0.49566313636217707</v>
      </c>
      <c r="AU47" s="316">
        <f t="shared" si="66"/>
        <v>0.49011346607309425</v>
      </c>
      <c r="AV47" s="316">
        <f t="shared" si="66"/>
        <v>1.4223397564728568E-2</v>
      </c>
      <c r="AW47" s="338">
        <f t="shared" si="66"/>
        <v>0.50433686363782293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7"/>
        <v>0.1</v>
      </c>
      <c r="AA48" s="294">
        <f t="shared" si="51"/>
        <v>6.5497810516310817E-2</v>
      </c>
      <c r="AB48" s="294">
        <f t="shared" si="68"/>
        <v>0.15373797165685402</v>
      </c>
      <c r="AC48" s="294">
        <f t="shared" si="70"/>
        <v>2.193485094961058</v>
      </c>
      <c r="AD48" s="315">
        <f t="shared" si="52"/>
        <v>0.58605882410097521</v>
      </c>
      <c r="AE48" s="315">
        <f t="shared" si="53"/>
        <v>0.99903909320460726</v>
      </c>
      <c r="AF48" s="316">
        <f t="shared" si="54"/>
        <v>0.58509791730558236</v>
      </c>
      <c r="AG48" s="316">
        <f t="shared" si="55"/>
        <v>0.41394117589902479</v>
      </c>
      <c r="AH48" s="316">
        <f t="shared" si="56"/>
        <v>9.6090679539273527E-4</v>
      </c>
      <c r="AI48" s="316">
        <f t="shared" si="57"/>
        <v>0.41490208269441764</v>
      </c>
      <c r="AJ48" s="294">
        <f t="shared" si="58"/>
        <v>-0.9</v>
      </c>
      <c r="AK48" s="294">
        <f t="shared" si="59"/>
        <v>1.1000000000000001</v>
      </c>
      <c r="AL48" s="294">
        <f t="shared" si="60"/>
        <v>0.1</v>
      </c>
      <c r="AM48" s="313">
        <f t="shared" si="61"/>
        <v>0.1</v>
      </c>
      <c r="AP48" s="314">
        <f t="shared" si="69"/>
        <v>0.10262491765129185</v>
      </c>
      <c r="AQ48" s="294">
        <f t="shared" si="62"/>
        <v>1.4642200935378276</v>
      </c>
      <c r="AR48" s="315">
        <f t="shared" si="63"/>
        <v>0.55769728532673757</v>
      </c>
      <c r="AS48" s="315">
        <f t="shared" si="64"/>
        <v>0.98080751096343155</v>
      </c>
      <c r="AT48" s="316">
        <f t="shared" si="65"/>
        <v>0.53850479629016901</v>
      </c>
      <c r="AU48" s="316">
        <f t="shared" si="66"/>
        <v>0.44230271467326243</v>
      </c>
      <c r="AV48" s="316">
        <f t="shared" si="66"/>
        <v>1.919248903656845E-2</v>
      </c>
      <c r="AW48" s="338">
        <f t="shared" si="66"/>
        <v>0.46149520370983099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7"/>
        <v>0.15000000000000002</v>
      </c>
      <c r="AA49" s="294">
        <f t="shared" si="51"/>
        <v>0.11981058420177199</v>
      </c>
      <c r="AB49" s="294">
        <f t="shared" si="68"/>
        <v>0.28122216686336682</v>
      </c>
      <c r="AC49" s="294">
        <f t="shared" si="70"/>
        <v>2.0660008997545449</v>
      </c>
      <c r="AD49" s="315">
        <f t="shared" si="52"/>
        <v>0.65457735475868184</v>
      </c>
      <c r="AE49" s="315">
        <f t="shared" si="53"/>
        <v>0.9982597381159557</v>
      </c>
      <c r="AF49" s="316">
        <f t="shared" si="54"/>
        <v>0.65283709287463765</v>
      </c>
      <c r="AG49" s="316">
        <f t="shared" si="55"/>
        <v>0.34542264524131816</v>
      </c>
      <c r="AH49" s="316">
        <f t="shared" si="56"/>
        <v>1.7402618840443029E-3</v>
      </c>
      <c r="AI49" s="316">
        <f t="shared" si="57"/>
        <v>0.34716290712536235</v>
      </c>
      <c r="AJ49" s="294">
        <f t="shared" si="58"/>
        <v>-0.85</v>
      </c>
      <c r="AK49" s="294">
        <f t="shared" si="59"/>
        <v>1.1499999999999999</v>
      </c>
      <c r="AL49" s="294">
        <f t="shared" si="60"/>
        <v>0.15000000000000002</v>
      </c>
      <c r="AM49" s="313">
        <f t="shared" si="61"/>
        <v>0.15000000000000002</v>
      </c>
      <c r="AP49" s="314">
        <f t="shared" si="69"/>
        <v>0.18772461614420036</v>
      </c>
      <c r="AQ49" s="294">
        <f t="shared" si="62"/>
        <v>1.3791203950449189</v>
      </c>
      <c r="AR49" s="315">
        <f t="shared" si="63"/>
        <v>0.60468118165437967</v>
      </c>
      <c r="AS49" s="315">
        <f t="shared" si="64"/>
        <v>0.97443402823175296</v>
      </c>
      <c r="AT49" s="316">
        <f t="shared" si="65"/>
        <v>0.57911520988613274</v>
      </c>
      <c r="AU49" s="316">
        <f t="shared" si="66"/>
        <v>0.39531881834562033</v>
      </c>
      <c r="AV49" s="316">
        <f t="shared" si="66"/>
        <v>2.5565971768247042E-2</v>
      </c>
      <c r="AW49" s="338">
        <f t="shared" si="66"/>
        <v>0.42088479011386726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7"/>
        <v>0.2</v>
      </c>
      <c r="AA50" s="294">
        <f t="shared" si="51"/>
        <v>0.17412335788723315</v>
      </c>
      <c r="AB50" s="294">
        <f t="shared" si="68"/>
        <v>0.40870636206987959</v>
      </c>
      <c r="AC50" s="294">
        <f t="shared" si="70"/>
        <v>1.9385167045480323</v>
      </c>
      <c r="AD50" s="315">
        <f t="shared" si="52"/>
        <v>0.71836729233804564</v>
      </c>
      <c r="AE50" s="315">
        <f t="shared" si="53"/>
        <v>0.99694181427565065</v>
      </c>
      <c r="AF50" s="316">
        <f t="shared" si="54"/>
        <v>0.71530910661369629</v>
      </c>
      <c r="AG50" s="316">
        <f t="shared" si="55"/>
        <v>0.28163270766195436</v>
      </c>
      <c r="AH50" s="316">
        <f t="shared" si="56"/>
        <v>3.0581857243493493E-3</v>
      </c>
      <c r="AI50" s="316">
        <f t="shared" si="57"/>
        <v>0.28469089338630371</v>
      </c>
      <c r="AJ50" s="294">
        <f t="shared" si="58"/>
        <v>-0.8</v>
      </c>
      <c r="AK50" s="294">
        <f t="shared" si="59"/>
        <v>1.2</v>
      </c>
      <c r="AL50" s="294">
        <f t="shared" si="60"/>
        <v>0.2</v>
      </c>
      <c r="AM50" s="313">
        <f t="shared" si="61"/>
        <v>0.2</v>
      </c>
      <c r="AP50" s="314">
        <f t="shared" si="69"/>
        <v>0.27282431463710888</v>
      </c>
      <c r="AQ50" s="294">
        <f t="shared" si="62"/>
        <v>1.2940206965520105</v>
      </c>
      <c r="AR50" s="315">
        <f t="shared" si="63"/>
        <v>0.6501893957880851</v>
      </c>
      <c r="AS50" s="315">
        <f t="shared" si="64"/>
        <v>0.96637664692436154</v>
      </c>
      <c r="AT50" s="316">
        <f t="shared" si="65"/>
        <v>0.61656604271244664</v>
      </c>
      <c r="AU50" s="316">
        <f t="shared" si="66"/>
        <v>0.3498106042119149</v>
      </c>
      <c r="AV50" s="316">
        <f t="shared" si="66"/>
        <v>3.3623353075638462E-2</v>
      </c>
      <c r="AW50" s="338">
        <f t="shared" si="66"/>
        <v>0.38343395728755336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7"/>
        <v>0.25</v>
      </c>
      <c r="AA51" s="294">
        <f t="shared" si="51"/>
        <v>0.22843613157269427</v>
      </c>
      <c r="AB51" s="294">
        <f t="shared" si="68"/>
        <v>0.53619055727639231</v>
      </c>
      <c r="AC51" s="294">
        <f t="shared" si="70"/>
        <v>1.8110325093415198</v>
      </c>
      <c r="AD51" s="315">
        <f t="shared" si="52"/>
        <v>0.77586069270368441</v>
      </c>
      <c r="AE51" s="315">
        <f t="shared" si="53"/>
        <v>0.99478423651007875</v>
      </c>
      <c r="AF51" s="316">
        <f t="shared" si="54"/>
        <v>0.77064492921376315</v>
      </c>
      <c r="AG51" s="316">
        <f t="shared" si="55"/>
        <v>0.22413930729631559</v>
      </c>
      <c r="AH51" s="316">
        <f t="shared" si="56"/>
        <v>5.2157634899212546E-3</v>
      </c>
      <c r="AI51" s="316">
        <f t="shared" si="57"/>
        <v>0.22935507078623685</v>
      </c>
      <c r="AJ51" s="294">
        <f t="shared" si="58"/>
        <v>-0.75</v>
      </c>
      <c r="AK51" s="294">
        <f t="shared" si="59"/>
        <v>1.25</v>
      </c>
      <c r="AL51" s="294">
        <f t="shared" si="60"/>
        <v>0.25</v>
      </c>
      <c r="AM51" s="313">
        <f t="shared" si="61"/>
        <v>0.25</v>
      </c>
      <c r="AP51" s="314">
        <f t="shared" si="69"/>
        <v>0.35792401313001732</v>
      </c>
      <c r="AQ51" s="294">
        <f t="shared" si="62"/>
        <v>1.2089209980591022</v>
      </c>
      <c r="AR51" s="315">
        <f t="shared" si="63"/>
        <v>0.69363520183052096</v>
      </c>
      <c r="AS51" s="315">
        <f t="shared" si="64"/>
        <v>0.95633677197412859</v>
      </c>
      <c r="AT51" s="316">
        <f t="shared" si="65"/>
        <v>0.64997197380464966</v>
      </c>
      <c r="AU51" s="316">
        <f t="shared" si="66"/>
        <v>0.30636479816947904</v>
      </c>
      <c r="AV51" s="316">
        <f t="shared" si="66"/>
        <v>4.3663228025871414E-2</v>
      </c>
      <c r="AW51" s="338">
        <f t="shared" si="66"/>
        <v>0.35002802619535034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7"/>
        <v>0.3</v>
      </c>
      <c r="AA52" s="294">
        <f t="shared" si="51"/>
        <v>0.28274890525815544</v>
      </c>
      <c r="AB52" s="294">
        <f t="shared" si="68"/>
        <v>0.66367475248290508</v>
      </c>
      <c r="AC52" s="294">
        <f t="shared" si="70"/>
        <v>1.6835483141350072</v>
      </c>
      <c r="AD52" s="315">
        <f t="shared" si="52"/>
        <v>0.82602623162377808</v>
      </c>
      <c r="AE52" s="315">
        <f t="shared" si="53"/>
        <v>0.99136472659847841</v>
      </c>
      <c r="AF52" s="316">
        <f t="shared" si="54"/>
        <v>0.81739095822225649</v>
      </c>
      <c r="AG52" s="316">
        <f t="shared" si="55"/>
        <v>0.17397376837622192</v>
      </c>
      <c r="AH52" s="316">
        <f t="shared" si="56"/>
        <v>8.6352734015215926E-3</v>
      </c>
      <c r="AI52" s="316">
        <f t="shared" si="57"/>
        <v>0.18260904177774351</v>
      </c>
      <c r="AJ52" s="294">
        <f t="shared" si="58"/>
        <v>-0.7</v>
      </c>
      <c r="AK52" s="294">
        <f t="shared" si="59"/>
        <v>1.3</v>
      </c>
      <c r="AL52" s="294">
        <f t="shared" si="60"/>
        <v>0.3</v>
      </c>
      <c r="AM52" s="313">
        <f t="shared" si="61"/>
        <v>0.3</v>
      </c>
      <c r="AP52" s="314">
        <f t="shared" si="69"/>
        <v>0.44302371162292586</v>
      </c>
      <c r="AQ52" s="294">
        <f t="shared" si="62"/>
        <v>1.1238212995661936</v>
      </c>
      <c r="AR52" s="315">
        <f t="shared" si="63"/>
        <v>0.73451636342132265</v>
      </c>
      <c r="AS52" s="315">
        <f t="shared" si="64"/>
        <v>0.94400629216004162</v>
      </c>
      <c r="AT52" s="316">
        <f t="shared" si="65"/>
        <v>0.67852265558136438</v>
      </c>
      <c r="AU52" s="316">
        <f t="shared" si="66"/>
        <v>0.26548363657867735</v>
      </c>
      <c r="AV52" s="316">
        <f t="shared" si="66"/>
        <v>5.5993707839958384E-2</v>
      </c>
      <c r="AW52" s="338">
        <f t="shared" si="66"/>
        <v>0.32147734441863562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7"/>
        <v>0.35</v>
      </c>
      <c r="AA53" s="294">
        <f t="shared" si="51"/>
        <v>0.33706167894361655</v>
      </c>
      <c r="AB53" s="294">
        <f t="shared" si="68"/>
        <v>0.79115894768941786</v>
      </c>
      <c r="AC53" s="294">
        <f t="shared" si="70"/>
        <v>1.5560641189284945</v>
      </c>
      <c r="AD53" s="315">
        <f t="shared" si="52"/>
        <v>0.86840171071768879</v>
      </c>
      <c r="AE53" s="315">
        <f t="shared" si="53"/>
        <v>0.98611807051552258</v>
      </c>
      <c r="AF53" s="316">
        <f t="shared" si="54"/>
        <v>0.85451978123321126</v>
      </c>
      <c r="AG53" s="316">
        <f t="shared" si="55"/>
        <v>0.13159828928231121</v>
      </c>
      <c r="AH53" s="316">
        <f t="shared" si="56"/>
        <v>1.3881929484477418E-2</v>
      </c>
      <c r="AI53" s="316">
        <f t="shared" si="57"/>
        <v>0.14548021876678874</v>
      </c>
      <c r="AJ53" s="294">
        <f t="shared" si="58"/>
        <v>-0.65</v>
      </c>
      <c r="AK53" s="294">
        <f t="shared" si="59"/>
        <v>1.35</v>
      </c>
      <c r="AL53" s="294">
        <f t="shared" si="60"/>
        <v>0.35</v>
      </c>
      <c r="AM53" s="313">
        <f t="shared" si="61"/>
        <v>0.35</v>
      </c>
      <c r="AP53" s="314">
        <f t="shared" si="69"/>
        <v>0.5281234101158343</v>
      </c>
      <c r="AQ53" s="294">
        <f t="shared" si="62"/>
        <v>1.0387216010732854</v>
      </c>
      <c r="AR53" s="315">
        <f t="shared" si="63"/>
        <v>0.77243178568058102</v>
      </c>
      <c r="AS53" s="315">
        <f t="shared" si="64"/>
        <v>0.92908010311164779</v>
      </c>
      <c r="AT53" s="316">
        <f t="shared" si="65"/>
        <v>0.7015118887922287</v>
      </c>
      <c r="AU53" s="316">
        <f t="shared" si="66"/>
        <v>0.22756821431941898</v>
      </c>
      <c r="AV53" s="316">
        <f t="shared" si="66"/>
        <v>7.0919896888352207E-2</v>
      </c>
      <c r="AW53" s="338">
        <f t="shared" si="66"/>
        <v>0.2984881112077713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7"/>
        <v>0.39999999999999997</v>
      </c>
      <c r="AA54" s="294">
        <f t="shared" si="51"/>
        <v>0.39137445262907766</v>
      </c>
      <c r="AB54" s="294">
        <f t="shared" si="68"/>
        <v>0.91864314289593041</v>
      </c>
      <c r="AC54" s="294">
        <f t="shared" si="70"/>
        <v>1.4285799237219816</v>
      </c>
      <c r="AD54" s="315">
        <f t="shared" si="52"/>
        <v>0.90305507402440544</v>
      </c>
      <c r="AE54" s="315">
        <f t="shared" si="53"/>
        <v>0.9783247470648917</v>
      </c>
      <c r="AF54" s="316">
        <f t="shared" si="54"/>
        <v>0.88137982108929713</v>
      </c>
      <c r="AG54" s="316">
        <f t="shared" si="55"/>
        <v>9.6944925975594565E-2</v>
      </c>
      <c r="AH54" s="316">
        <f t="shared" si="56"/>
        <v>2.1675252935108302E-2</v>
      </c>
      <c r="AI54" s="316">
        <f t="shared" si="57"/>
        <v>0.11862017891070287</v>
      </c>
      <c r="AJ54" s="294">
        <f t="shared" si="58"/>
        <v>-0.60000000000000009</v>
      </c>
      <c r="AK54" s="294">
        <f t="shared" si="59"/>
        <v>1.4</v>
      </c>
      <c r="AL54" s="294">
        <f t="shared" si="60"/>
        <v>0.39999999999999997</v>
      </c>
      <c r="AM54" s="313">
        <f t="shared" si="61"/>
        <v>0.39999999999999997</v>
      </c>
      <c r="AP54" s="314">
        <f t="shared" si="69"/>
        <v>0.61322310860874263</v>
      </c>
      <c r="AQ54" s="294">
        <f t="shared" si="62"/>
        <v>0.95362190258037682</v>
      </c>
      <c r="AR54" s="315">
        <f t="shared" si="63"/>
        <v>0.80709157092585571</v>
      </c>
      <c r="AS54" s="315">
        <f t="shared" si="64"/>
        <v>0.91127128125360313</v>
      </c>
      <c r="AT54" s="316">
        <f t="shared" si="65"/>
        <v>0.71836285217945894</v>
      </c>
      <c r="AU54" s="316">
        <f t="shared" si="66"/>
        <v>0.19290842907414429</v>
      </c>
      <c r="AV54" s="316">
        <f t="shared" si="66"/>
        <v>8.8728718746396873E-2</v>
      </c>
      <c r="AW54" s="338">
        <f t="shared" si="66"/>
        <v>0.28163714782054106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7"/>
        <v>0.44999999999999996</v>
      </c>
      <c r="AA55" s="294">
        <f t="shared" si="51"/>
        <v>0.44568722631453883</v>
      </c>
      <c r="AB55" s="294">
        <f t="shared" si="68"/>
        <v>1.0461273381024432</v>
      </c>
      <c r="AC55" s="294">
        <f t="shared" si="70"/>
        <v>1.301095728515469</v>
      </c>
      <c r="AD55" s="315">
        <f t="shared" si="52"/>
        <v>0.93048961944384967</v>
      </c>
      <c r="AE55" s="315">
        <f t="shared" si="53"/>
        <v>0.96711787980683472</v>
      </c>
      <c r="AF55" s="316">
        <f t="shared" si="54"/>
        <v>0.89760749925068439</v>
      </c>
      <c r="AG55" s="316">
        <f t="shared" si="55"/>
        <v>6.9510380556150331E-2</v>
      </c>
      <c r="AH55" s="316">
        <f t="shared" si="56"/>
        <v>3.2882120193165276E-2</v>
      </c>
      <c r="AI55" s="316">
        <f t="shared" si="57"/>
        <v>0.10239250074931561</v>
      </c>
      <c r="AJ55" s="294">
        <f t="shared" si="58"/>
        <v>-0.55000000000000004</v>
      </c>
      <c r="AK55" s="294">
        <f t="shared" si="59"/>
        <v>1.45</v>
      </c>
      <c r="AL55" s="294">
        <f t="shared" si="60"/>
        <v>0.44999999999999996</v>
      </c>
      <c r="AM55" s="313">
        <f t="shared" si="61"/>
        <v>0.44999999999999996</v>
      </c>
      <c r="AP55" s="314">
        <f t="shared" si="69"/>
        <v>0.69832280710165118</v>
      </c>
      <c r="AQ55" s="294">
        <f t="shared" si="62"/>
        <v>0.86852220408746827</v>
      </c>
      <c r="AR55" s="315">
        <f t="shared" si="63"/>
        <v>0.83832021569801995</v>
      </c>
      <c r="AS55" s="315">
        <f t="shared" si="64"/>
        <v>0.89032828891569582</v>
      </c>
      <c r="AT55" s="316">
        <f t="shared" si="65"/>
        <v>0.72864850461371589</v>
      </c>
      <c r="AU55" s="316">
        <f t="shared" si="66"/>
        <v>0.16167978430198005</v>
      </c>
      <c r="AV55" s="316">
        <f t="shared" si="66"/>
        <v>0.10967171108430418</v>
      </c>
      <c r="AW55" s="338">
        <f t="shared" si="66"/>
        <v>0.27135149538628411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7"/>
        <v>0.49999999999999994</v>
      </c>
      <c r="AA56" s="294">
        <f t="shared" si="51"/>
        <v>0.49999999999999994</v>
      </c>
      <c r="AB56" s="294">
        <f t="shared" si="68"/>
        <v>1.1736115333089558</v>
      </c>
      <c r="AC56" s="294">
        <f t="shared" si="70"/>
        <v>1.1736115333089561</v>
      </c>
      <c r="AD56" s="315">
        <f t="shared" si="52"/>
        <v>0.95151634869838442</v>
      </c>
      <c r="AE56" s="315">
        <f t="shared" si="53"/>
        <v>0.95151634869838442</v>
      </c>
      <c r="AF56" s="316">
        <f t="shared" si="54"/>
        <v>0.90303269739676884</v>
      </c>
      <c r="AG56" s="316">
        <f t="shared" si="55"/>
        <v>4.8483651301615582E-2</v>
      </c>
      <c r="AH56" s="316">
        <f t="shared" si="56"/>
        <v>4.8483651301615582E-2</v>
      </c>
      <c r="AI56" s="316">
        <f t="shared" si="57"/>
        <v>9.6967302603231165E-2</v>
      </c>
      <c r="AJ56" s="294">
        <f t="shared" si="58"/>
        <v>-0.5</v>
      </c>
      <c r="AK56" s="294">
        <f t="shared" si="59"/>
        <v>1.5</v>
      </c>
      <c r="AL56" s="294">
        <f t="shared" si="60"/>
        <v>0.49999999999999994</v>
      </c>
      <c r="AM56" s="313">
        <f t="shared" si="61"/>
        <v>0.49999999999999994</v>
      </c>
      <c r="AP56" s="314">
        <f t="shared" si="69"/>
        <v>0.78342250559455962</v>
      </c>
      <c r="AQ56" s="294">
        <f t="shared" si="62"/>
        <v>0.78342250559455973</v>
      </c>
      <c r="AR56" s="315">
        <f t="shared" si="63"/>
        <v>0.86605327027046919</v>
      </c>
      <c r="AS56" s="315">
        <f t="shared" si="64"/>
        <v>0.86605327027046919</v>
      </c>
      <c r="AT56" s="316">
        <f t="shared" si="65"/>
        <v>0.73210654054093838</v>
      </c>
      <c r="AU56" s="316">
        <f t="shared" si="66"/>
        <v>0.13394672972953081</v>
      </c>
      <c r="AV56" s="316">
        <f t="shared" si="66"/>
        <v>0.13394672972953081</v>
      </c>
      <c r="AW56" s="338">
        <f t="shared" si="66"/>
        <v>0.26789345945906162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7"/>
        <v>0.54999999999999993</v>
      </c>
      <c r="AA57" s="294">
        <f t="shared" si="51"/>
        <v>0.55431277368546106</v>
      </c>
      <c r="AB57" s="294">
        <f>MAX(MIN(B_1*Tb_eff*($AA57)/(SQRT(2)*$AG$9),10),-10)</f>
        <v>1.3010957285154685</v>
      </c>
      <c r="AC57" s="294">
        <f t="shared" si="70"/>
        <v>1.0461273381024434</v>
      </c>
      <c r="AD57" s="315">
        <f t="shared" si="52"/>
        <v>0.96711787980683472</v>
      </c>
      <c r="AE57" s="315">
        <f t="shared" si="53"/>
        <v>0.93048961944384967</v>
      </c>
      <c r="AF57" s="316">
        <f t="shared" si="54"/>
        <v>0.89760749925068439</v>
      </c>
      <c r="AG57" s="316">
        <f t="shared" si="55"/>
        <v>3.2882120193165276E-2</v>
      </c>
      <c r="AH57" s="316">
        <f t="shared" si="56"/>
        <v>6.9510380556150331E-2</v>
      </c>
      <c r="AI57" s="316">
        <f t="shared" si="57"/>
        <v>0.10239250074931561</v>
      </c>
      <c r="AJ57" s="294">
        <f t="shared" si="58"/>
        <v>-0.45000000000000007</v>
      </c>
      <c r="AK57" s="294">
        <f t="shared" si="59"/>
        <v>1.5499999999999998</v>
      </c>
      <c r="AL57" s="294">
        <f t="shared" si="60"/>
        <v>0.54999999999999993</v>
      </c>
      <c r="AM57" s="313">
        <f t="shared" si="61"/>
        <v>0.54999999999999993</v>
      </c>
      <c r="AP57" s="314">
        <f t="shared" si="69"/>
        <v>0.86852220408746805</v>
      </c>
      <c r="AQ57" s="294">
        <f t="shared" si="62"/>
        <v>0.6983228071016514</v>
      </c>
      <c r="AR57" s="315">
        <f t="shared" si="63"/>
        <v>0.89032828891569582</v>
      </c>
      <c r="AS57" s="315">
        <f t="shared" si="64"/>
        <v>0.83832021569802007</v>
      </c>
      <c r="AT57" s="316">
        <f t="shared" si="65"/>
        <v>0.72864850461371589</v>
      </c>
      <c r="AU57" s="316">
        <f t="shared" si="66"/>
        <v>0.10967171108430418</v>
      </c>
      <c r="AV57" s="316">
        <f t="shared" si="66"/>
        <v>0.16167978430197993</v>
      </c>
      <c r="AW57" s="338">
        <f t="shared" si="66"/>
        <v>0.27135149538628411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7"/>
        <v>0.6</v>
      </c>
      <c r="AA58" s="294">
        <f t="shared" si="51"/>
        <v>0.60862554737092223</v>
      </c>
      <c r="AB58" s="294">
        <f t="shared" si="68"/>
        <v>1.4285799237219814</v>
      </c>
      <c r="AC58" s="294">
        <f t="shared" si="70"/>
        <v>0.91864314289593063</v>
      </c>
      <c r="AD58" s="315">
        <f t="shared" si="52"/>
        <v>0.9783247470648917</v>
      </c>
      <c r="AE58" s="315">
        <f t="shared" si="53"/>
        <v>0.90305507402440555</v>
      </c>
      <c r="AF58" s="316">
        <f t="shared" si="54"/>
        <v>0.88137982108929736</v>
      </c>
      <c r="AG58" s="316">
        <f t="shared" si="55"/>
        <v>2.1675252935108302E-2</v>
      </c>
      <c r="AH58" s="316">
        <f t="shared" si="56"/>
        <v>9.6944925975594454E-2</v>
      </c>
      <c r="AI58" s="316">
        <f t="shared" si="57"/>
        <v>0.11862017891070264</v>
      </c>
      <c r="AJ58" s="294">
        <f t="shared" si="58"/>
        <v>-0.4</v>
      </c>
      <c r="AK58" s="294">
        <f t="shared" si="59"/>
        <v>1.6</v>
      </c>
      <c r="AL58" s="294">
        <f t="shared" si="60"/>
        <v>0.6</v>
      </c>
      <c r="AM58" s="313">
        <f t="shared" si="61"/>
        <v>0.6</v>
      </c>
      <c r="AP58" s="314">
        <f t="shared" si="69"/>
        <v>0.9536219025803766</v>
      </c>
      <c r="AQ58" s="294">
        <f t="shared" si="62"/>
        <v>0.61322310860874285</v>
      </c>
      <c r="AR58" s="315">
        <f t="shared" si="63"/>
        <v>0.91127128125360302</v>
      </c>
      <c r="AS58" s="315">
        <f t="shared" si="64"/>
        <v>0.80709157092585582</v>
      </c>
      <c r="AT58" s="316">
        <f t="shared" si="65"/>
        <v>0.71836285217945894</v>
      </c>
      <c r="AU58" s="316">
        <f t="shared" si="66"/>
        <v>8.8728718746396984E-2</v>
      </c>
      <c r="AV58" s="316">
        <f t="shared" si="66"/>
        <v>0.19290842907414418</v>
      </c>
      <c r="AW58" s="338">
        <f t="shared" si="66"/>
        <v>0.28163714782054106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7"/>
        <v>0.65</v>
      </c>
      <c r="AA59" s="294">
        <f t="shared" si="51"/>
        <v>0.66293832105638351</v>
      </c>
      <c r="AB59" s="294">
        <f t="shared" si="68"/>
        <v>1.5560641189284945</v>
      </c>
      <c r="AC59" s="294">
        <f t="shared" si="70"/>
        <v>0.79115894768941764</v>
      </c>
      <c r="AD59" s="315">
        <f t="shared" si="52"/>
        <v>0.98611807051552258</v>
      </c>
      <c r="AE59" s="315">
        <f t="shared" si="53"/>
        <v>0.86840171071768879</v>
      </c>
      <c r="AF59" s="316">
        <f t="shared" si="54"/>
        <v>0.85451978123321126</v>
      </c>
      <c r="AG59" s="316">
        <f t="shared" si="55"/>
        <v>1.3881929484477418E-2</v>
      </c>
      <c r="AH59" s="316">
        <f t="shared" si="56"/>
        <v>0.13159828928231121</v>
      </c>
      <c r="AI59" s="316">
        <f t="shared" si="57"/>
        <v>0.14548021876678874</v>
      </c>
      <c r="AJ59" s="294">
        <f t="shared" si="58"/>
        <v>-0.35</v>
      </c>
      <c r="AK59" s="294">
        <f t="shared" si="59"/>
        <v>1.65</v>
      </c>
      <c r="AL59" s="294">
        <f t="shared" si="60"/>
        <v>0.65</v>
      </c>
      <c r="AM59" s="313">
        <f t="shared" si="61"/>
        <v>0.65</v>
      </c>
      <c r="AP59" s="314">
        <f t="shared" si="69"/>
        <v>1.0387216010732854</v>
      </c>
      <c r="AQ59" s="294">
        <f t="shared" si="62"/>
        <v>0.52812341011583419</v>
      </c>
      <c r="AR59" s="315">
        <f t="shared" si="63"/>
        <v>0.92908010311164779</v>
      </c>
      <c r="AS59" s="315">
        <f t="shared" si="64"/>
        <v>0.77243178568058091</v>
      </c>
      <c r="AT59" s="316">
        <f t="shared" si="65"/>
        <v>0.7015118887922287</v>
      </c>
      <c r="AU59" s="316">
        <f t="shared" si="66"/>
        <v>7.0919896888352207E-2</v>
      </c>
      <c r="AV59" s="316">
        <f t="shared" si="66"/>
        <v>0.22756821431941909</v>
      </c>
      <c r="AW59" s="338">
        <f t="shared" si="66"/>
        <v>0.2984881112077713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7"/>
        <v>0.70000000000000007</v>
      </c>
      <c r="AA60" s="294">
        <f t="shared" si="51"/>
        <v>0.71725109474184467</v>
      </c>
      <c r="AB60" s="294">
        <f t="shared" si="68"/>
        <v>1.6835483141350074</v>
      </c>
      <c r="AC60" s="294">
        <f t="shared" si="70"/>
        <v>0.66367475248290486</v>
      </c>
      <c r="AD60" s="315">
        <f t="shared" si="52"/>
        <v>0.99136472659847841</v>
      </c>
      <c r="AE60" s="315">
        <f t="shared" si="53"/>
        <v>0.82602623162377797</v>
      </c>
      <c r="AF60" s="316">
        <f t="shared" si="54"/>
        <v>0.81739095822225627</v>
      </c>
      <c r="AG60" s="316">
        <f t="shared" si="55"/>
        <v>8.6352734015215926E-3</v>
      </c>
      <c r="AH60" s="316">
        <f t="shared" si="56"/>
        <v>0.17397376837622203</v>
      </c>
      <c r="AI60" s="316">
        <f t="shared" si="57"/>
        <v>0.18260904177774373</v>
      </c>
      <c r="AJ60" s="294">
        <f t="shared" si="58"/>
        <v>-0.29999999999999993</v>
      </c>
      <c r="AK60" s="294">
        <f t="shared" si="59"/>
        <v>1.7000000000000002</v>
      </c>
      <c r="AL60" s="294">
        <f t="shared" si="60"/>
        <v>0.70000000000000007</v>
      </c>
      <c r="AM60" s="313">
        <f t="shared" si="61"/>
        <v>0.70000000000000007</v>
      </c>
      <c r="AP60" s="314">
        <f t="shared" si="69"/>
        <v>1.1238212995661938</v>
      </c>
      <c r="AQ60" s="294">
        <f t="shared" si="62"/>
        <v>0.44302371162292564</v>
      </c>
      <c r="AR60" s="315">
        <f t="shared" si="63"/>
        <v>0.94400629216004162</v>
      </c>
      <c r="AS60" s="315">
        <f t="shared" si="64"/>
        <v>0.73451636342132254</v>
      </c>
      <c r="AT60" s="316">
        <f t="shared" si="65"/>
        <v>0.67852265558136415</v>
      </c>
      <c r="AU60" s="316">
        <f t="shared" si="66"/>
        <v>5.5993707839958384E-2</v>
      </c>
      <c r="AV60" s="316">
        <f t="shared" si="66"/>
        <v>0.26548363657867746</v>
      </c>
      <c r="AW60" s="338">
        <f t="shared" si="66"/>
        <v>0.32147734441863585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7"/>
        <v>0.75000000000000011</v>
      </c>
      <c r="AA61" s="294">
        <f t="shared" si="51"/>
        <v>0.77156386842730584</v>
      </c>
      <c r="AB61" s="294">
        <f t="shared" si="68"/>
        <v>1.8110325093415198</v>
      </c>
      <c r="AC61" s="294">
        <f t="shared" si="70"/>
        <v>0.53619055727639198</v>
      </c>
      <c r="AD61" s="315">
        <f t="shared" si="52"/>
        <v>0.99478423651007875</v>
      </c>
      <c r="AE61" s="315">
        <f t="shared" si="53"/>
        <v>0.77586069270368441</v>
      </c>
      <c r="AF61" s="316">
        <f t="shared" si="54"/>
        <v>0.77064492921376315</v>
      </c>
      <c r="AG61" s="316">
        <f t="shared" si="55"/>
        <v>5.2157634899212546E-3</v>
      </c>
      <c r="AH61" s="316">
        <f t="shared" si="56"/>
        <v>0.22413930729631559</v>
      </c>
      <c r="AI61" s="316">
        <f t="shared" si="57"/>
        <v>0.22935507078623685</v>
      </c>
      <c r="AJ61" s="294">
        <f t="shared" si="58"/>
        <v>-0.24999999999999989</v>
      </c>
      <c r="AK61" s="294">
        <f t="shared" si="59"/>
        <v>1.75</v>
      </c>
      <c r="AL61" s="294">
        <f t="shared" si="60"/>
        <v>0.75000000000000011</v>
      </c>
      <c r="AM61" s="313">
        <f t="shared" si="61"/>
        <v>0.75000000000000011</v>
      </c>
      <c r="AP61" s="314">
        <f t="shared" si="69"/>
        <v>1.2089209980591022</v>
      </c>
      <c r="AQ61" s="294">
        <f t="shared" si="62"/>
        <v>0.35792401313001709</v>
      </c>
      <c r="AR61" s="315">
        <f t="shared" si="63"/>
        <v>0.95633677197412859</v>
      </c>
      <c r="AS61" s="315">
        <f t="shared" si="64"/>
        <v>0.69363520183052074</v>
      </c>
      <c r="AT61" s="316">
        <f t="shared" si="65"/>
        <v>0.64997197380464922</v>
      </c>
      <c r="AU61" s="316">
        <f t="shared" si="66"/>
        <v>4.3663228025871414E-2</v>
      </c>
      <c r="AV61" s="316">
        <f t="shared" si="66"/>
        <v>0.30636479816947926</v>
      </c>
      <c r="AW61" s="338">
        <f t="shared" si="66"/>
        <v>0.35002802619535078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7"/>
        <v>0.80000000000000016</v>
      </c>
      <c r="AA62" s="294">
        <f t="shared" si="51"/>
        <v>0.82587664211276701</v>
      </c>
      <c r="AB62" s="294">
        <f t="shared" si="68"/>
        <v>1.9385167045480327</v>
      </c>
      <c r="AC62" s="294">
        <f t="shared" si="70"/>
        <v>0.4087063620698792</v>
      </c>
      <c r="AD62" s="315">
        <f t="shared" si="52"/>
        <v>0.99694181427565065</v>
      </c>
      <c r="AE62" s="315">
        <f t="shared" si="53"/>
        <v>0.71836729233804542</v>
      </c>
      <c r="AF62" s="316">
        <f t="shared" si="54"/>
        <v>0.71530910661369607</v>
      </c>
      <c r="AG62" s="316">
        <f t="shared" si="55"/>
        <v>3.0581857243493493E-3</v>
      </c>
      <c r="AH62" s="316">
        <f t="shared" si="56"/>
        <v>0.28163270766195458</v>
      </c>
      <c r="AI62" s="316">
        <f t="shared" si="57"/>
        <v>0.28469089338630393</v>
      </c>
      <c r="AJ62" s="294">
        <f t="shared" si="58"/>
        <v>-0.19999999999999984</v>
      </c>
      <c r="AK62" s="294">
        <f t="shared" si="59"/>
        <v>1.8000000000000003</v>
      </c>
      <c r="AL62" s="294">
        <f t="shared" si="60"/>
        <v>0.80000000000000016</v>
      </c>
      <c r="AM62" s="313">
        <f t="shared" si="61"/>
        <v>0.80000000000000016</v>
      </c>
      <c r="AP62" s="314">
        <f t="shared" si="69"/>
        <v>1.2940206965520107</v>
      </c>
      <c r="AQ62" s="294">
        <f t="shared" si="62"/>
        <v>0.2728243146371086</v>
      </c>
      <c r="AR62" s="315">
        <f t="shared" si="63"/>
        <v>0.96637664692436154</v>
      </c>
      <c r="AS62" s="315">
        <f t="shared" si="64"/>
        <v>0.65018939578808488</v>
      </c>
      <c r="AT62" s="316">
        <f t="shared" si="65"/>
        <v>0.61656604271244642</v>
      </c>
      <c r="AU62" s="316">
        <f t="shared" si="66"/>
        <v>3.3623353075638462E-2</v>
      </c>
      <c r="AV62" s="316">
        <f t="shared" si="66"/>
        <v>0.34981060421191512</v>
      </c>
      <c r="AW62" s="338">
        <f t="shared" si="66"/>
        <v>0.38343395728755358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7"/>
        <v>0.8500000000000002</v>
      </c>
      <c r="AA63" s="294">
        <f t="shared" si="51"/>
        <v>0.88018941579822818</v>
      </c>
      <c r="AB63" s="294">
        <f t="shared" si="68"/>
        <v>2.0660008997545458</v>
      </c>
      <c r="AC63" s="294">
        <f t="shared" si="70"/>
        <v>0.28122216686336643</v>
      </c>
      <c r="AD63" s="315">
        <f t="shared" si="52"/>
        <v>0.9982597381159557</v>
      </c>
      <c r="AE63" s="315">
        <f t="shared" si="53"/>
        <v>0.65457735475868162</v>
      </c>
      <c r="AF63" s="316">
        <f t="shared" si="54"/>
        <v>0.6528370928746372</v>
      </c>
      <c r="AG63" s="316">
        <f t="shared" si="55"/>
        <v>1.7402618840443029E-3</v>
      </c>
      <c r="AH63" s="316">
        <f t="shared" si="56"/>
        <v>0.34542264524131838</v>
      </c>
      <c r="AI63" s="316">
        <f t="shared" si="57"/>
        <v>0.3471629071253628</v>
      </c>
      <c r="AJ63" s="294">
        <f t="shared" si="58"/>
        <v>-0.1499999999999998</v>
      </c>
      <c r="AK63" s="294">
        <f t="shared" si="59"/>
        <v>1.85</v>
      </c>
      <c r="AL63" s="294">
        <f t="shared" si="60"/>
        <v>0.8500000000000002</v>
      </c>
      <c r="AM63" s="313">
        <f t="shared" si="61"/>
        <v>0.8500000000000002</v>
      </c>
      <c r="AP63" s="314">
        <f t="shared" si="69"/>
        <v>1.3791203950449193</v>
      </c>
      <c r="AQ63" s="294">
        <f t="shared" si="62"/>
        <v>0.18772461614420011</v>
      </c>
      <c r="AR63" s="315">
        <f t="shared" si="63"/>
        <v>0.97443402823175296</v>
      </c>
      <c r="AS63" s="315">
        <f t="shared" si="64"/>
        <v>0.60468118165437956</v>
      </c>
      <c r="AT63" s="316">
        <f t="shared" si="65"/>
        <v>0.57911520988613252</v>
      </c>
      <c r="AU63" s="316">
        <f t="shared" si="66"/>
        <v>2.5565971768247042E-2</v>
      </c>
      <c r="AV63" s="316">
        <f t="shared" si="66"/>
        <v>0.39531881834562044</v>
      </c>
      <c r="AW63" s="338">
        <f t="shared" si="66"/>
        <v>0.42088479011386748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7"/>
        <v>0.90000000000000024</v>
      </c>
      <c r="AA64" s="294">
        <f t="shared" si="51"/>
        <v>0.93450218948368946</v>
      </c>
      <c r="AB64" s="294">
        <f t="shared" si="68"/>
        <v>2.1934850949610589</v>
      </c>
      <c r="AC64" s="294">
        <f t="shared" si="70"/>
        <v>0.15373797165685335</v>
      </c>
      <c r="AD64" s="315">
        <f t="shared" si="52"/>
        <v>0.99903909320460726</v>
      </c>
      <c r="AE64" s="315">
        <f t="shared" si="53"/>
        <v>0.58605882410097476</v>
      </c>
      <c r="AF64" s="316">
        <f t="shared" si="54"/>
        <v>0.58509791730558192</v>
      </c>
      <c r="AG64" s="316">
        <f t="shared" si="55"/>
        <v>9.6090679539273527E-4</v>
      </c>
      <c r="AH64" s="316">
        <f t="shared" si="56"/>
        <v>0.41394117589902524</v>
      </c>
      <c r="AI64" s="316">
        <f t="shared" si="57"/>
        <v>0.41490208269441808</v>
      </c>
      <c r="AJ64" s="294">
        <f t="shared" si="58"/>
        <v>-9.9999999999999756E-2</v>
      </c>
      <c r="AK64" s="294">
        <f t="shared" si="59"/>
        <v>1.9000000000000004</v>
      </c>
      <c r="AL64" s="294">
        <f t="shared" si="60"/>
        <v>0.90000000000000024</v>
      </c>
      <c r="AM64" s="313">
        <f t="shared" si="61"/>
        <v>0.90000000000000024</v>
      </c>
      <c r="AP64" s="314">
        <f t="shared" si="69"/>
        <v>1.464220093537828</v>
      </c>
      <c r="AQ64" s="294">
        <f t="shared" si="62"/>
        <v>0.10262491765129142</v>
      </c>
      <c r="AR64" s="315">
        <f t="shared" si="63"/>
        <v>0.98080751096343166</v>
      </c>
      <c r="AS64" s="315">
        <f t="shared" si="64"/>
        <v>0.55769728532673735</v>
      </c>
      <c r="AT64" s="316">
        <f t="shared" si="65"/>
        <v>0.53850479629016901</v>
      </c>
      <c r="AU64" s="316">
        <f t="shared" si="66"/>
        <v>1.9192489036568339E-2</v>
      </c>
      <c r="AV64" s="316">
        <f t="shared" si="66"/>
        <v>0.44230271467326265</v>
      </c>
      <c r="AW64" s="338">
        <f t="shared" si="66"/>
        <v>0.46149520370983099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7"/>
        <v>0.95000000000000029</v>
      </c>
      <c r="AA65" s="294">
        <f t="shared" si="51"/>
        <v>0.98881496316915063</v>
      </c>
      <c r="AB65" s="294">
        <f>MAX(MIN(B_1*Tb_eff*($AA65)/(SQRT(2)*$AG$9),10),-10)</f>
        <v>2.3209692901675716</v>
      </c>
      <c r="AC65" s="294">
        <f t="shared" si="70"/>
        <v>2.6253776450340553E-2</v>
      </c>
      <c r="AD65" s="315">
        <f t="shared" si="52"/>
        <v>0.99948526445021102</v>
      </c>
      <c r="AE65" s="315">
        <f t="shared" si="53"/>
        <v>0.51480870477080809</v>
      </c>
      <c r="AF65" s="316">
        <f t="shared" si="54"/>
        <v>0.51429396922101911</v>
      </c>
      <c r="AG65" s="316">
        <f t="shared" si="55"/>
        <v>5.1473554978898051E-4</v>
      </c>
      <c r="AH65" s="316">
        <f t="shared" si="56"/>
        <v>0.48519129522919191</v>
      </c>
      <c r="AI65" s="316">
        <f t="shared" si="57"/>
        <v>0.48570603077898089</v>
      </c>
      <c r="AJ65" s="294">
        <f t="shared" si="58"/>
        <v>-4.9999999999999711E-2</v>
      </c>
      <c r="AK65" s="294">
        <f t="shared" si="59"/>
        <v>1.9500000000000002</v>
      </c>
      <c r="AL65" s="294">
        <f t="shared" si="60"/>
        <v>0.95000000000000029</v>
      </c>
      <c r="AM65" s="313">
        <f t="shared" si="61"/>
        <v>0.95000000000000029</v>
      </c>
      <c r="AP65" s="314">
        <f t="shared" si="69"/>
        <v>1.5493197920307367</v>
      </c>
      <c r="AQ65" s="294">
        <f t="shared" si="62"/>
        <v>1.7525219158382895E-2</v>
      </c>
      <c r="AR65" s="315">
        <f t="shared" si="63"/>
        <v>0.98577660243527143</v>
      </c>
      <c r="AS65" s="315">
        <f t="shared" si="64"/>
        <v>0.50988653392690553</v>
      </c>
      <c r="AT65" s="316">
        <f t="shared" si="65"/>
        <v>0.49566313636217707</v>
      </c>
      <c r="AU65" s="316">
        <f t="shared" si="66"/>
        <v>1.4223397564728568E-2</v>
      </c>
      <c r="AV65" s="316">
        <f t="shared" si="66"/>
        <v>0.49011346607309447</v>
      </c>
      <c r="AW65" s="338">
        <f t="shared" si="66"/>
        <v>0.50433686363782293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7"/>
        <v>1.0000000000000002</v>
      </c>
      <c r="AA66" s="294">
        <f t="shared" si="51"/>
        <v>1.0431277368546117</v>
      </c>
      <c r="AB66" s="294">
        <f t="shared" si="68"/>
        <v>2.4484534853740842</v>
      </c>
      <c r="AC66" s="294">
        <f t="shared" si="70"/>
        <v>-0.10123041875617199</v>
      </c>
      <c r="AD66" s="315">
        <f t="shared" si="52"/>
        <v>0.99973254437158954</v>
      </c>
      <c r="AE66" s="315">
        <f t="shared" si="53"/>
        <v>0.44308134474993344</v>
      </c>
      <c r="AF66" s="316">
        <f t="shared" si="54"/>
        <v>0.44281388912152297</v>
      </c>
      <c r="AG66" s="316">
        <f t="shared" si="55"/>
        <v>2.6745562841046233E-4</v>
      </c>
      <c r="AH66" s="316">
        <f t="shared" si="56"/>
        <v>0.55691865525006656</v>
      </c>
      <c r="AI66" s="316">
        <f t="shared" si="57"/>
        <v>0.55718611087847703</v>
      </c>
      <c r="AJ66" s="294">
        <f t="shared" si="58"/>
        <v>0</v>
      </c>
      <c r="AK66" s="294">
        <f t="shared" si="59"/>
        <v>2</v>
      </c>
      <c r="AL66" s="294">
        <f t="shared" si="60"/>
        <v>1.0000000000000002</v>
      </c>
      <c r="AM66" s="313">
        <f t="shared" si="61"/>
        <v>1.0000000000000002</v>
      </c>
      <c r="AP66" s="314">
        <f t="shared" si="69"/>
        <v>1.6344194905236449</v>
      </c>
      <c r="AQ66" s="294">
        <f t="shared" si="62"/>
        <v>-6.7574479334525442E-2</v>
      </c>
      <c r="AR66" s="315">
        <f t="shared" si="63"/>
        <v>0.98959511696700986</v>
      </c>
      <c r="AS66" s="315">
        <f t="shared" si="64"/>
        <v>0.46193313315221818</v>
      </c>
      <c r="AT66" s="316">
        <f t="shared" si="65"/>
        <v>0.45152825011922815</v>
      </c>
      <c r="AU66" s="316">
        <f t="shared" si="66"/>
        <v>1.0404883032990142E-2</v>
      </c>
      <c r="AV66" s="316">
        <f t="shared" si="66"/>
        <v>0.53806686684778182</v>
      </c>
      <c r="AW66" s="338">
        <f t="shared" si="66"/>
        <v>0.54847174988077185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7"/>
        <v>1.0500000000000003</v>
      </c>
      <c r="AA67" s="294">
        <f t="shared" si="51"/>
        <v>1.0974405105400729</v>
      </c>
      <c r="AB67" s="294">
        <f t="shared" si="68"/>
        <v>2.5759376805805969</v>
      </c>
      <c r="AC67" s="294">
        <f t="shared" si="70"/>
        <v>-0.2287146139626848</v>
      </c>
      <c r="AD67" s="315">
        <f t="shared" si="52"/>
        <v>0.99986522182659432</v>
      </c>
      <c r="AE67" s="315">
        <f t="shared" si="53"/>
        <v>0.37317673852104988</v>
      </c>
      <c r="AF67" s="316">
        <f t="shared" si="54"/>
        <v>0.37304196034764425</v>
      </c>
      <c r="AG67" s="316">
        <f t="shared" si="55"/>
        <v>1.3477817340568077E-4</v>
      </c>
      <c r="AH67" s="316">
        <f t="shared" si="56"/>
        <v>0.62682326147895018</v>
      </c>
      <c r="AI67" s="316">
        <f t="shared" si="57"/>
        <v>0.62695803965235575</v>
      </c>
      <c r="AJ67" s="294">
        <f t="shared" si="58"/>
        <v>5.0000000000000266E-2</v>
      </c>
      <c r="AK67" s="294">
        <f t="shared" si="59"/>
        <v>2.0500000000000003</v>
      </c>
      <c r="AL67" s="294">
        <f t="shared" si="60"/>
        <v>1.0500000000000003</v>
      </c>
      <c r="AM67" s="313">
        <f t="shared" si="61"/>
        <v>1.0500000000000003</v>
      </c>
      <c r="AP67" s="314">
        <f t="shared" si="69"/>
        <v>1.7195191890165535</v>
      </c>
      <c r="AQ67" s="294">
        <f t="shared" si="62"/>
        <v>-0.15267417782743398</v>
      </c>
      <c r="AR67" s="315">
        <f t="shared" si="63"/>
        <v>0.99248732267916795</v>
      </c>
      <c r="AS67" s="315">
        <f t="shared" si="64"/>
        <v>0.41452743377117413</v>
      </c>
      <c r="AT67" s="316">
        <f t="shared" si="65"/>
        <v>0.40701475645034213</v>
      </c>
      <c r="AU67" s="316">
        <f t="shared" si="66"/>
        <v>7.5126773208320508E-3</v>
      </c>
      <c r="AV67" s="316">
        <f t="shared" si="66"/>
        <v>0.58547256622882582</v>
      </c>
      <c r="AW67" s="338">
        <f t="shared" si="66"/>
        <v>0.59298524354965787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7"/>
        <v>1.1000000000000003</v>
      </c>
      <c r="AA68" s="294">
        <f t="shared" si="51"/>
        <v>1.151753284225534</v>
      </c>
      <c r="AB68" s="294">
        <f t="shared" si="68"/>
        <v>2.7034218757871096</v>
      </c>
      <c r="AC68" s="294">
        <f t="shared" si="70"/>
        <v>-0.35619880916919755</v>
      </c>
      <c r="AD68" s="315">
        <f t="shared" si="52"/>
        <v>0.99993413882246451</v>
      </c>
      <c r="AE68" s="315">
        <f t="shared" si="53"/>
        <v>0.30722163078201375</v>
      </c>
      <c r="AF68" s="316">
        <f t="shared" si="54"/>
        <v>0.30715576960447821</v>
      </c>
      <c r="AG68" s="316">
        <f t="shared" si="55"/>
        <v>6.5861177535486704E-5</v>
      </c>
      <c r="AH68" s="316">
        <f t="shared" si="56"/>
        <v>0.6927783692179863</v>
      </c>
      <c r="AI68" s="316">
        <f t="shared" si="57"/>
        <v>0.69284423039552179</v>
      </c>
      <c r="AJ68" s="294">
        <f t="shared" si="58"/>
        <v>0.10000000000000031</v>
      </c>
      <c r="AK68" s="294">
        <f t="shared" si="59"/>
        <v>2.1000000000000005</v>
      </c>
      <c r="AL68" s="294">
        <f t="shared" si="60"/>
        <v>1.1000000000000003</v>
      </c>
      <c r="AM68" s="313">
        <f t="shared" si="61"/>
        <v>1.1000000000000003</v>
      </c>
      <c r="AP68" s="314">
        <f t="shared" si="69"/>
        <v>1.804618887509462</v>
      </c>
      <c r="AQ68" s="294">
        <f t="shared" si="62"/>
        <v>-0.23777387632034247</v>
      </c>
      <c r="AR68" s="315">
        <f t="shared" si="63"/>
        <v>0.99464646457163264</v>
      </c>
      <c r="AS68" s="315">
        <f t="shared" si="64"/>
        <v>0.36833625903388345</v>
      </c>
      <c r="AT68" s="316">
        <f t="shared" si="65"/>
        <v>0.36298272360551609</v>
      </c>
      <c r="AU68" s="316">
        <f t="shared" si="66"/>
        <v>5.353535428367362E-3</v>
      </c>
      <c r="AV68" s="316">
        <f t="shared" si="66"/>
        <v>0.63166374096611655</v>
      </c>
      <c r="AW68" s="338">
        <f t="shared" si="66"/>
        <v>0.63701727639448391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7"/>
        <v>1.1500000000000004</v>
      </c>
      <c r="AA69" s="294">
        <f t="shared" si="51"/>
        <v>1.2060660579109954</v>
      </c>
      <c r="AB69" s="294">
        <f t="shared" si="68"/>
        <v>2.8309060709936231</v>
      </c>
      <c r="AC69" s="294">
        <f t="shared" si="70"/>
        <v>-0.48368300437571093</v>
      </c>
      <c r="AD69" s="315">
        <f t="shared" si="52"/>
        <v>0.99996879465947108</v>
      </c>
      <c r="AE69" s="315">
        <f t="shared" si="53"/>
        <v>0.24697777493834094</v>
      </c>
      <c r="AF69" s="316">
        <f t="shared" si="54"/>
        <v>0.24694656959781192</v>
      </c>
      <c r="AG69" s="316">
        <f t="shared" si="55"/>
        <v>3.1205340528916992E-5</v>
      </c>
      <c r="AH69" s="316">
        <f t="shared" si="56"/>
        <v>0.75302222506165906</v>
      </c>
      <c r="AI69" s="316">
        <f t="shared" si="57"/>
        <v>0.75305343040218808</v>
      </c>
      <c r="AJ69" s="294">
        <f t="shared" si="58"/>
        <v>0.15000000000000036</v>
      </c>
      <c r="AK69" s="294">
        <f t="shared" si="59"/>
        <v>2.1500000000000004</v>
      </c>
      <c r="AL69" s="294">
        <f t="shared" si="60"/>
        <v>1.1500000000000004</v>
      </c>
      <c r="AM69" s="313">
        <f t="shared" si="61"/>
        <v>1.1500000000000004</v>
      </c>
      <c r="AP69" s="339">
        <f t="shared" si="69"/>
        <v>1.8897185860023709</v>
      </c>
      <c r="AQ69" s="319">
        <f t="shared" si="62"/>
        <v>-0.32287357481325135</v>
      </c>
      <c r="AR69" s="320">
        <f t="shared" si="63"/>
        <v>0.99623519589232123</v>
      </c>
      <c r="AS69" s="320">
        <f t="shared" si="64"/>
        <v>0.32397490848185251</v>
      </c>
      <c r="AT69" s="321">
        <f t="shared" si="65"/>
        <v>0.32021010437417363</v>
      </c>
      <c r="AU69" s="321">
        <f t="shared" si="66"/>
        <v>3.7648041076787653E-3</v>
      </c>
      <c r="AV69" s="321">
        <f t="shared" si="66"/>
        <v>0.67602509151814749</v>
      </c>
      <c r="AW69" s="340">
        <f t="shared" si="66"/>
        <v>0.67978989562582637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7"/>
        <v>1.2000000000000004</v>
      </c>
      <c r="AA70" s="294">
        <f t="shared" si="51"/>
        <v>1.2603788315964564</v>
      </c>
      <c r="AB70" s="294">
        <f t="shared" si="68"/>
        <v>2.9583902662001353</v>
      </c>
      <c r="AC70" s="294">
        <f t="shared" si="70"/>
        <v>-0.61116719958222321</v>
      </c>
      <c r="AD70" s="315">
        <f t="shared" si="52"/>
        <v>0.99998566590761317</v>
      </c>
      <c r="AE70" s="315">
        <f t="shared" si="53"/>
        <v>0.19370580435912527</v>
      </c>
      <c r="AF70" s="316">
        <f t="shared" si="54"/>
        <v>0.1936914702667385</v>
      </c>
      <c r="AG70" s="316">
        <f t="shared" si="55"/>
        <v>1.4334092386825148E-5</v>
      </c>
      <c r="AH70" s="316">
        <f t="shared" si="56"/>
        <v>0.80629419564087468</v>
      </c>
      <c r="AI70" s="316">
        <f t="shared" si="57"/>
        <v>0.8063085297332615</v>
      </c>
      <c r="AJ70" s="294">
        <f t="shared" si="58"/>
        <v>0.2000000000000004</v>
      </c>
      <c r="AK70" s="294">
        <f t="shared" si="59"/>
        <v>2.2000000000000002</v>
      </c>
      <c r="AL70" s="294">
        <f t="shared" si="60"/>
        <v>1.2000000000000004</v>
      </c>
      <c r="AM70" s="313">
        <f t="shared" si="61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7"/>
        <v>1.2500000000000004</v>
      </c>
      <c r="AA71" s="319">
        <f t="shared" si="51"/>
        <v>1.3146916052819178</v>
      </c>
      <c r="AB71" s="319">
        <f t="shared" si="68"/>
        <v>3.0858744614066489</v>
      </c>
      <c r="AC71" s="319">
        <f t="shared" si="70"/>
        <v>-0.73865139478873654</v>
      </c>
      <c r="AD71" s="320">
        <f t="shared" si="52"/>
        <v>0.99999361721813584</v>
      </c>
      <c r="AE71" s="320">
        <f t="shared" si="53"/>
        <v>0.14810143829914252</v>
      </c>
      <c r="AF71" s="321">
        <f t="shared" si="54"/>
        <v>0.14809505551727842</v>
      </c>
      <c r="AG71" s="321">
        <f t="shared" si="55"/>
        <v>6.382781864155973E-6</v>
      </c>
      <c r="AH71" s="321">
        <f t="shared" si="56"/>
        <v>0.85189856170085743</v>
      </c>
      <c r="AI71" s="321">
        <f t="shared" si="57"/>
        <v>0.85190494448272158</v>
      </c>
      <c r="AJ71" s="319">
        <f t="shared" si="58"/>
        <v>0.25000000000000044</v>
      </c>
      <c r="AK71" s="319">
        <f t="shared" si="59"/>
        <v>2.2500000000000004</v>
      </c>
      <c r="AL71" s="319">
        <f t="shared" si="60"/>
        <v>1.2500000000000004</v>
      </c>
      <c r="AM71" s="322">
        <f t="shared" si="61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71"/>
  <sheetViews>
    <sheetView showGridLines="0" tabSelected="1" showOutlineSymbols="0" topLeftCell="C1" zoomScale="69" zoomScaleNormal="69" workbookViewId="0">
      <selection activeCell="AK1" sqref="AK1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7.85546875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15.85546875" style="14" customWidth="1"/>
    <col min="31" max="31" width="8.5703125" style="14" customWidth="1"/>
    <col min="32" max="32" width="8.85546875" style="14" customWidth="1"/>
    <col min="33" max="33" width="9.28515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" style="14" customWidth="1"/>
    <col min="41" max="41" width="10.425781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7" t="str">
        <f>Notes!A1</f>
        <v>10GEPBud3_1_16a.xls</v>
      </c>
      <c r="S1" s="488"/>
      <c r="T1" s="488"/>
      <c r="U1" s="488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1.1963963486969995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327">
        <v>35</v>
      </c>
      <c r="H2" s="120" t="s">
        <v>10</v>
      </c>
      <c r="I2" s="363" t="s">
        <v>1</v>
      </c>
      <c r="J2" s="482" t="s">
        <v>268</v>
      </c>
      <c r="K2" s="482"/>
      <c r="L2" s="483" t="s">
        <v>291</v>
      </c>
      <c r="M2" s="484"/>
      <c r="N2" s="144"/>
      <c r="O2" s="6" t="s">
        <v>139</v>
      </c>
      <c r="P2" s="152">
        <v>3.5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1.1963963486969995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53.13</v>
      </c>
      <c r="H3" s="126" t="s">
        <v>10</v>
      </c>
      <c r="I3" s="245" t="s">
        <v>99</v>
      </c>
      <c r="J3" s="5"/>
      <c r="K3" s="6" t="s">
        <v>8</v>
      </c>
      <c r="L3" s="134">
        <v>0.3</v>
      </c>
      <c r="M3" s="131" t="s">
        <v>9</v>
      </c>
      <c r="N3" s="153" t="s">
        <v>138</v>
      </c>
      <c r="O3" s="137" t="s">
        <v>141</v>
      </c>
      <c r="P3" s="7">
        <f>IF(Uc&lt;1000,850,1310)</f>
        <v>850</v>
      </c>
      <c r="Q3" s="123" t="s">
        <v>125</v>
      </c>
      <c r="S3" s="391" t="s">
        <v>302</v>
      </c>
      <c r="T3" s="409">
        <v>-11.1</v>
      </c>
      <c r="U3" s="390" t="s">
        <v>117</v>
      </c>
      <c r="V3" s="172" t="s">
        <v>33</v>
      </c>
      <c r="W3" s="173">
        <f>AO39</f>
        <v>0.79359701966126472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2.0670853609056716</v>
      </c>
      <c r="AH3" s="21" t="s">
        <v>30</v>
      </c>
      <c r="AI3" s="86"/>
      <c r="AJ3" s="127" t="s">
        <v>305</v>
      </c>
      <c r="AK3" s="394">
        <f>ERF(AK1)+ERF(AK2)-1</f>
        <v>0.81869277681684038</v>
      </c>
    </row>
    <row r="4" spans="1:44" ht="15" customHeight="1" x14ac:dyDescent="0.25">
      <c r="A4" s="11"/>
      <c r="B4" s="124" t="s">
        <v>38</v>
      </c>
      <c r="C4" s="367">
        <v>10312.5</v>
      </c>
      <c r="D4" s="125" t="s">
        <v>39</v>
      </c>
      <c r="E4" s="7"/>
      <c r="F4" s="137" t="s">
        <v>131</v>
      </c>
      <c r="G4" s="411">
        <v>-130</v>
      </c>
      <c r="H4" s="170" t="s">
        <v>37</v>
      </c>
      <c r="I4" s="246" t="s">
        <v>135</v>
      </c>
      <c r="J4" s="7"/>
      <c r="K4" s="122" t="s">
        <v>17</v>
      </c>
      <c r="L4" s="132">
        <v>0.2</v>
      </c>
      <c r="M4" s="126" t="s">
        <v>9</v>
      </c>
      <c r="N4" s="121"/>
      <c r="O4" s="122" t="s">
        <v>18</v>
      </c>
      <c r="P4" s="201">
        <f>IF(Uc&gt;1000,$P$2/1.4846,$P$2/3.5)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0.3 km</v>
      </c>
      <c r="Y4" s="96"/>
      <c r="AA4" s="127" t="s">
        <v>24</v>
      </c>
      <c r="AB4" s="204">
        <f>0.7*$P$8*$C$7</f>
        <v>2.2329999999999999E-2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0.99653657524888428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0.81869277681684038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-139.56059991327962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3.622595119239568</v>
      </c>
      <c r="Q5" s="123" t="s">
        <v>140</v>
      </c>
      <c r="R5" s="156"/>
      <c r="S5" s="117" t="s">
        <v>43</v>
      </c>
      <c r="T5" s="139">
        <v>8250</v>
      </c>
      <c r="U5" s="126" t="s">
        <v>44</v>
      </c>
      <c r="V5" s="445" t="s">
        <v>273</v>
      </c>
      <c r="W5" s="446">
        <v>7500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0.97816586163501218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113">
        <v>840</v>
      </c>
      <c r="D6" s="8" t="s">
        <v>125</v>
      </c>
      <c r="E6" s="7"/>
      <c r="F6" s="122" t="s">
        <v>26</v>
      </c>
      <c r="G6" s="17">
        <v>0.7</v>
      </c>
      <c r="H6" s="123"/>
      <c r="I6" s="7"/>
      <c r="J6" s="7"/>
      <c r="K6" s="117" t="s">
        <v>134</v>
      </c>
      <c r="L6" s="16">
        <f>C8-T3</f>
        <v>7.3</v>
      </c>
      <c r="M6" s="140" t="s">
        <v>23</v>
      </c>
      <c r="N6" s="121"/>
      <c r="O6" s="137" t="s">
        <v>141</v>
      </c>
      <c r="P6" s="7">
        <f>Uc</f>
        <v>840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1.9968678749407047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7.6010063038915211E-4</v>
      </c>
      <c r="AH6" s="294" t="s">
        <v>372</v>
      </c>
      <c r="AI6" s="86"/>
    </row>
    <row r="7" spans="1:44" ht="15" customHeight="1" x14ac:dyDescent="0.25">
      <c r="A7" s="121"/>
      <c r="B7" s="451" t="s">
        <v>414</v>
      </c>
      <c r="C7" s="413">
        <v>0.28999999999999998</v>
      </c>
      <c r="D7" s="8" t="s">
        <v>125</v>
      </c>
      <c r="E7" s="7"/>
      <c r="F7" s="286" t="s">
        <v>25</v>
      </c>
      <c r="G7" s="412">
        <f>G8</f>
        <v>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1.5</v>
      </c>
      <c r="M7" s="140" t="s">
        <v>23</v>
      </c>
      <c r="N7" s="121"/>
      <c r="O7" s="117" t="s">
        <v>124</v>
      </c>
      <c r="P7" s="115">
        <v>1320</v>
      </c>
      <c r="Q7" s="123" t="s">
        <v>125</v>
      </c>
      <c r="R7" s="157"/>
      <c r="S7" s="137" t="s">
        <v>47</v>
      </c>
      <c r="T7" s="111">
        <f>$T$6*1000/$T$5</f>
        <v>39.878787878787875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3.0062839321800428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I7" s="74"/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40">
        <v>-3.8</v>
      </c>
      <c r="D8" s="7" t="s">
        <v>117</v>
      </c>
      <c r="E8" s="7"/>
      <c r="F8" s="117" t="s">
        <v>40</v>
      </c>
      <c r="G8" s="285">
        <f>8-2</f>
        <v>6</v>
      </c>
      <c r="H8" s="313" t="s">
        <v>363</v>
      </c>
      <c r="I8" s="7"/>
      <c r="J8" s="7"/>
      <c r="K8" s="25" t="s">
        <v>29</v>
      </c>
      <c r="L8" s="8">
        <f>$L$6-$L$7</f>
        <v>5.8</v>
      </c>
      <c r="M8" s="140" t="s">
        <v>23</v>
      </c>
      <c r="N8" s="103"/>
      <c r="O8" s="117" t="s">
        <v>362</v>
      </c>
      <c r="P8" s="115">
        <v>0.11</v>
      </c>
      <c r="Q8" s="123" t="s">
        <v>146</v>
      </c>
      <c r="R8" s="157"/>
      <c r="S8" s="333" t="s">
        <v>284</v>
      </c>
      <c r="T8" s="158">
        <f>$G$14*10^6/$C$4</f>
        <v>19.393939393939387</v>
      </c>
      <c r="U8" s="123" t="s">
        <v>10</v>
      </c>
      <c r="V8" s="153" t="s">
        <v>148</v>
      </c>
      <c r="W8" s="116">
        <v>6.5</v>
      </c>
      <c r="X8" s="123" t="s">
        <v>23</v>
      </c>
      <c r="Y8" s="96"/>
      <c r="AA8" s="137" t="s">
        <v>153</v>
      </c>
      <c r="AB8" s="16">
        <f>10*LOG10((1+10^(-($W$8/10)))/(1-10^(-($W$8/10))))</f>
        <v>1.978027515771426</v>
      </c>
      <c r="AC8" s="7" t="s">
        <v>23</v>
      </c>
      <c r="AD8" s="21"/>
      <c r="AE8" s="74"/>
      <c r="AF8" s="137" t="s">
        <v>274</v>
      </c>
      <c r="AG8" s="111">
        <f>$T$6*1000/$W$5</f>
        <v>43.866666666666667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3.0034933022749914</v>
      </c>
      <c r="D9" s="8" t="s">
        <v>23</v>
      </c>
      <c r="E9" s="7"/>
      <c r="F9" s="288" t="s">
        <v>130</v>
      </c>
      <c r="G9" s="289">
        <f>(10^-6)*($G$7-$G$8)*$L$11</f>
        <v>0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-117.7609329446064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1.978027515771426</v>
      </c>
      <c r="X9" s="123" t="s">
        <v>20</v>
      </c>
      <c r="Y9" s="96"/>
      <c r="AA9" s="404" t="s">
        <v>368</v>
      </c>
      <c r="AB9" s="201">
        <f>$C$11-$AB$8</f>
        <v>2.8022724408683835</v>
      </c>
      <c r="AC9" s="201" t="s">
        <v>20</v>
      </c>
      <c r="AD9" s="198"/>
      <c r="AE9" s="74"/>
      <c r="AF9" s="74" t="s">
        <v>275</v>
      </c>
      <c r="AG9" s="329">
        <f>SQRT(H17^2+$AG$8^2)</f>
        <v>68.900961395178896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330">
        <f>MIN(C8+1.77,-1)</f>
        <v>-2.0299999999999998</v>
      </c>
      <c r="D10" s="7" t="s">
        <v>117</v>
      </c>
      <c r="E10" s="7"/>
      <c r="F10" s="122" t="s">
        <v>49</v>
      </c>
      <c r="G10" s="411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2.5000000000000001E-2</v>
      </c>
      <c r="U10" s="164" t="s">
        <v>55</v>
      </c>
      <c r="V10" s="121"/>
      <c r="W10" s="7"/>
      <c r="X10" s="165"/>
      <c r="Y10" s="96"/>
      <c r="AD10" s="198"/>
      <c r="AF10" s="127" t="s">
        <v>276</v>
      </c>
      <c r="AG10" s="328">
        <f>MAX(MIN(B_1*Tb_eff*($G$14*$Y$44+$G$9+1)/(SQRT(8)*$AG$9),10),-10)</f>
        <v>1.4514575289655134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4.7802999566398094</v>
      </c>
      <c r="D11" s="7" t="s">
        <v>20</v>
      </c>
      <c r="E11" s="7"/>
      <c r="F11" s="288" t="s">
        <v>50</v>
      </c>
      <c r="G11" s="418">
        <f>$AG$12-2.519*SQRT($AG$6)</f>
        <v>0.70733975536451232</v>
      </c>
      <c r="H11" s="109"/>
      <c r="I11" s="7"/>
      <c r="J11" s="7"/>
      <c r="K11" s="129" t="s">
        <v>142</v>
      </c>
      <c r="L11" s="10">
        <f>1/((1/$C$4)-$G$8*10^-6)</f>
        <v>10992.671552298467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3.1518238568832264</v>
      </c>
      <c r="X11" s="136" t="s">
        <v>20</v>
      </c>
      <c r="Y11" s="96"/>
      <c r="AA11" s="137" t="s">
        <v>294</v>
      </c>
      <c r="AB11" s="10">
        <f>10^(($C$8/10)+3)</f>
        <v>416.86938347033572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0.9413351684284853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90.969696969696983</v>
      </c>
      <c r="M12" s="7" t="s">
        <v>10</v>
      </c>
      <c r="N12" s="121"/>
      <c r="O12" s="117" t="s">
        <v>15</v>
      </c>
      <c r="P12" s="113">
        <v>2000</v>
      </c>
      <c r="Q12" s="325" t="s">
        <v>16</v>
      </c>
      <c r="R12" s="157"/>
      <c r="S12" s="155" t="s">
        <v>144</v>
      </c>
      <c r="T12" s="19">
        <f>10*LOG10(1/SQRT(1-(Q*SD_blw)^2))</f>
        <v>6.8268186831347694E-2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626.61386467233535</v>
      </c>
      <c r="AC12" s="86" t="s">
        <v>36</v>
      </c>
      <c r="AD12" s="74"/>
      <c r="AE12" s="74"/>
      <c r="AF12" s="127" t="s">
        <v>278</v>
      </c>
      <c r="AG12" s="328">
        <f>ERF(AG10)+ERF(AG11)-1</f>
        <v>0.77678839031255675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0.21319120586275805</v>
      </c>
      <c r="M13" s="244" t="s">
        <v>116</v>
      </c>
      <c r="N13" s="11"/>
      <c r="O13" s="142" t="s">
        <v>32</v>
      </c>
      <c r="P13" s="143">
        <f>IF(L2="SMF",1000000*L3/(3*P11),P12)</f>
        <v>2000</v>
      </c>
      <c r="Q13" s="136" t="s">
        <v>16</v>
      </c>
      <c r="R13" s="161"/>
      <c r="S13" s="147" t="s">
        <v>56</v>
      </c>
      <c r="T13" s="31">
        <f>10*LOG10(1/SQRT(1-(Q*SD_blw/$AG$5)^2))</f>
        <v>7.1401112454932456E-2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298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99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7.2451902384791361E-3</v>
      </c>
      <c r="C17" s="44">
        <f t="shared" ref="C17:C38" si="1">$L$7+B17</f>
        <v>1.5072451902384791</v>
      </c>
      <c r="D17" s="177">
        <f t="shared" ref="D17:D38" si="2">A17*$P$9</f>
        <v>-0.23552186588921278</v>
      </c>
      <c r="E17" s="44">
        <f t="shared" ref="E17:E38" si="3">A17*$AB$4</f>
        <v>4.4659999999999996E-5</v>
      </c>
      <c r="F17" s="130">
        <f t="shared" ref="F17:F38" si="4">(0.187/$C$7)*10^6/(SQRT(D17^2+E17^2))</f>
        <v>2737867.1283005681</v>
      </c>
      <c r="G17" s="45">
        <f t="shared" ref="G17:G38" si="5">$P$13/A17</f>
        <v>1000000</v>
      </c>
      <c r="H17" s="46">
        <f t="shared" ref="H17:H38" si="6">SQRT((1000*C_1/F17)^2+(1000*C_1/G17)^2+$G$3^2)</f>
        <v>53.132457469380128</v>
      </c>
      <c r="I17" s="46">
        <f t="shared" ref="I17:I38" si="7">SQRT(H17^2+$T$7^2)</f>
        <v>66.433242878974738</v>
      </c>
      <c r="J17" s="424">
        <f t="shared" ref="J17:J38" si="8">-10*LOG10(2*Z17 - 1)</f>
        <v>0.74989179337416378</v>
      </c>
      <c r="K17" s="251">
        <f t="shared" ref="K17:K38" si="9">-10*LOG10(AB17)-J17</f>
        <v>0.22264270517351648</v>
      </c>
      <c r="L17" s="265">
        <f t="shared" ref="L17:L38" si="10">-10*LOG10(AD17)-J17</f>
        <v>0</v>
      </c>
      <c r="M17" s="266">
        <f t="shared" ref="M17:M38" si="11">-10*LOG10(AC17)-J17-K17</f>
        <v>0</v>
      </c>
      <c r="N17" s="267"/>
      <c r="O17" s="130">
        <f t="shared" ref="O17:O38" si="12">(10^-6)*3.14*$L$11*D17*$C$7</f>
        <v>-2.357556617454252E-3</v>
      </c>
      <c r="P17" s="44">
        <f t="shared" ref="P17:P38" si="13">($G$10/SQRT(2))*(1-EXP(-1*O17^2))</f>
        <v>1.1790420993745851E-6</v>
      </c>
      <c r="Q17" s="44">
        <f t="shared" ref="Q17:Q38" si="14">10*LOG10(1/SQRT(1-(Q*P17)^2))</f>
        <v>1.4948136491531908E-10</v>
      </c>
      <c r="R17" s="265"/>
      <c r="S17" s="44">
        <f>-10*LOG10(SQRT(1-Q*Q*(((SD_blw/AC17)^2)+AK17+Vmn+(P17*P17))))-$T$13-Q17-R17-Pmn</f>
        <v>5.2844675161729249E-2</v>
      </c>
      <c r="T17" s="209">
        <f>J17+L17+B17+Q17+S17+Pmn</f>
        <v>1.1099816589238536</v>
      </c>
      <c r="U17" s="277">
        <f>J17+K17+B17+Q17+S17+Pmn+M17</f>
        <v>1.3326243640973701</v>
      </c>
      <c r="V17" s="178">
        <f t="shared" ref="V17:V38" si="15">T17-B17</f>
        <v>1.1027364686853744</v>
      </c>
      <c r="W17" s="179">
        <f t="shared" ref="W17:W38" si="16">$L$8-T17</f>
        <v>4.6900183410761462</v>
      </c>
      <c r="X17" s="455">
        <f t="shared" ref="X17:X38" si="17">$C$8-C17-(Q17+N17+R17+S17/2+Pmn) -$W$3</f>
        <v>-6.4272645476300898</v>
      </c>
      <c r="Y17" s="47">
        <f t="shared" ref="Y17:Y38" si="18">B_1*Tb_eff/(SQRT(8)*I17)</f>
        <v>1.2408374943411635</v>
      </c>
      <c r="Z17" s="49">
        <f t="shared" ref="Z17:Z38" si="19">IF(ABS(Y17)&lt;10,SIGN(Y17)*ERF(ABS(Y17)),SIGN(Y17))</f>
        <v>0.92070805284197443</v>
      </c>
      <c r="AA17" s="395">
        <f>$AD17</f>
        <v>0.84141610568394887</v>
      </c>
      <c r="AB17" s="43">
        <f t="shared" ref="AB17:AB38" si="20">ERF(AE17)+ERF(AF17)-1</f>
        <v>0.79936761602432949</v>
      </c>
      <c r="AC17" s="47">
        <f t="shared" ref="AC17:AC38" si="21">ERF(AG17)+ERF(AH17)-1</f>
        <v>0.79936761602432949</v>
      </c>
      <c r="AD17" s="47">
        <f t="shared" ref="AD17:AD38" si="22">ERF(AI17)+ERF(AJ17)-1</f>
        <v>0.84141610568394887</v>
      </c>
      <c r="AE17" s="50">
        <f t="shared" ref="AE17:AE38" si="23">MAX(MIN(B_1*Tb_eff*($L$13+1)/(SQRT(8)*$I17),10),-10)</f>
        <v>1.5053731360394793</v>
      </c>
      <c r="AF17" s="50">
        <f t="shared" ref="AF17:AF38" si="24">MAX(MIN(B_1*Tb_eff*(1-$L$13)/(SQRT(8)*$I17),10),-10)</f>
        <v>0.97630185264284763</v>
      </c>
      <c r="AG17" s="50">
        <f t="shared" ref="AG17:AG38" si="25">MAX(MIN(B_1*Tb_eff*($L$13+$G$9+1)/(SQRT(8)*$I17),10),-10)</f>
        <v>1.5053731360394793</v>
      </c>
      <c r="AH17" s="50">
        <f t="shared" ref="AH17:AH38" si="26">MAX(MIN(B_1*Tb_eff*(1-$L$13-$G$9)/(SQRT(8)*$I17),10),-10)</f>
        <v>0.97630185264284763</v>
      </c>
      <c r="AI17" s="50">
        <f t="shared" ref="AI17:AI38" si="27">MAX(MIN(B_1*Tb_eff*($G$9+1)/(SQRT(8)*$I17),10),-10)</f>
        <v>1.2408374943411635</v>
      </c>
      <c r="AJ17" s="50">
        <f t="shared" ref="AJ17:AJ38" si="28">MAX(MIN(B_1*Tb_eff*(1-$G$9)/(SQRT(8)*$I17),10),-10)</f>
        <v>1.2408374943411635</v>
      </c>
      <c r="AK17" s="305"/>
      <c r="AL17" s="48">
        <f t="shared" ref="AL17:AL38" si="29">$L$6-$L$7</f>
        <v>5.8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0.2</v>
      </c>
      <c r="B18" s="52">
        <f t="shared" si="0"/>
        <v>0.72451902384791367</v>
      </c>
      <c r="C18" s="52">
        <f t="shared" si="1"/>
        <v>2.2245190238479138</v>
      </c>
      <c r="D18" s="180">
        <f t="shared" si="2"/>
        <v>-23.55218658892128</v>
      </c>
      <c r="E18" s="52">
        <f t="shared" si="3"/>
        <v>4.4660000000000004E-3</v>
      </c>
      <c r="F18" s="53">
        <f t="shared" si="4"/>
        <v>27378.671283005675</v>
      </c>
      <c r="G18" s="53">
        <f t="shared" si="5"/>
        <v>10000</v>
      </c>
      <c r="H18" s="54">
        <f t="shared" si="6"/>
        <v>73.716784078500197</v>
      </c>
      <c r="I18" s="54">
        <f t="shared" si="7"/>
        <v>83.81218275142092</v>
      </c>
      <c r="J18" s="425">
        <f t="shared" si="8"/>
        <v>1.7294597075884308</v>
      </c>
      <c r="K18" s="252">
        <f t="shared" si="9"/>
        <v>0.24478746685084074</v>
      </c>
      <c r="L18" s="268">
        <f t="shared" si="10"/>
        <v>0</v>
      </c>
      <c r="M18" s="269">
        <f t="shared" si="11"/>
        <v>0</v>
      </c>
      <c r="N18" s="270">
        <f t="shared" ref="N18:N23" si="30">-10*LOG10(1-2*$L$10*10^(-$C18/10)*$AB$5*SQRT(2*ER*($AD18*(ER-1)+ER+1))/($AD18*(ER-1)))</f>
        <v>0</v>
      </c>
      <c r="O18" s="52">
        <f t="shared" si="12"/>
        <v>-0.23575566174542525</v>
      </c>
      <c r="P18" s="52">
        <f t="shared" si="13"/>
        <v>1.1468779858394312E-2</v>
      </c>
      <c r="Q18" s="52">
        <f t="shared" si="14"/>
        <v>1.4189989598590472E-2</v>
      </c>
      <c r="R18" s="268">
        <f t="shared" ref="R18:R23" si="31">10*LOG10(1/SQRT(1-AK18*(Q/AA18)^2))</f>
        <v>0.1268876023773754</v>
      </c>
      <c r="S18" s="52">
        <f t="shared" ref="S18:S23" si="32">-10*LOG10(AA18*SQRT(1-Q*Q*((SD_blw^2+AK18)/AA18^2+Vmn+(P18*P18))))-$T$13-J18-L18-Q18-N18-R18-Pmn</f>
        <v>0.14413595685271346</v>
      </c>
      <c r="T18" s="282">
        <f>J18+L18+B18+Q18+N18+R18+S18+Pmn</f>
        <v>3.039192280265024</v>
      </c>
      <c r="U18" s="278">
        <f>J18+K18+B18+Q18+N18+R18+S18+Pmn+M18</f>
        <v>3.2839797471158647</v>
      </c>
      <c r="V18" s="181">
        <f t="shared" si="15"/>
        <v>2.3146732564171102</v>
      </c>
      <c r="W18" s="182">
        <f t="shared" si="16"/>
        <v>2.7608077197349759</v>
      </c>
      <c r="X18" s="456">
        <f t="shared" si="17"/>
        <v>-7.3312616139115008</v>
      </c>
      <c r="Y18" s="59">
        <f t="shared" si="18"/>
        <v>0.98354267755313185</v>
      </c>
      <c r="Z18" s="60">
        <f t="shared" si="19"/>
        <v>0.83575619426059022</v>
      </c>
      <c r="AA18" s="300">
        <f t="shared" ref="AA18:AA23" si="33">$AD18*(1-2*$L$10*10^(-$C18/10)*$AB$5*SQRT(2*ER*($AD18*(ER-1)+ER+1))/($AD18*(ER-1)))</f>
        <v>0.67151238852118045</v>
      </c>
      <c r="AB18" s="56">
        <f t="shared" si="20"/>
        <v>0.6347099149132287</v>
      </c>
      <c r="AC18" s="55">
        <f t="shared" si="21"/>
        <v>0.6347099149132287</v>
      </c>
      <c r="AD18" s="55">
        <f t="shared" si="22"/>
        <v>0.67151238852118045</v>
      </c>
      <c r="AE18" s="61">
        <f t="shared" si="23"/>
        <v>1.1932253269981699</v>
      </c>
      <c r="AF18" s="61">
        <f t="shared" si="24"/>
        <v>0.77386002810809384</v>
      </c>
      <c r="AG18" s="61">
        <f t="shared" si="25"/>
        <v>1.1932253269981699</v>
      </c>
      <c r="AH18" s="61">
        <f t="shared" si="26"/>
        <v>0.77386002810809384</v>
      </c>
      <c r="AI18" s="61">
        <f t="shared" si="27"/>
        <v>0.98354267755313185</v>
      </c>
      <c r="AJ18" s="61">
        <f t="shared" si="28"/>
        <v>0.98354267755313185</v>
      </c>
      <c r="AK18" s="306">
        <f t="shared" ref="AK18:AK23" si="34">kRIN*10^6*$AK$7*$AK$7/(SQRT((1/F18)^2+(1/G18)^2+0.477*(1/$T$5)^2))*10^($G$4/10)</f>
        <v>5.1685754188344893E-4</v>
      </c>
      <c r="AL18" s="57">
        <f t="shared" si="29"/>
        <v>5.8</v>
      </c>
      <c r="AM18" s="190">
        <f t="shared" ref="AM18:AM38" si="35">$L$3</f>
        <v>0.3</v>
      </c>
      <c r="AN18" s="190">
        <v>0</v>
      </c>
      <c r="AO18" s="58">
        <f t="shared" ref="AO18:AO38" si="36">IF(A18=$L$3,W18,0)</f>
        <v>0</v>
      </c>
      <c r="AP18" s="350">
        <f t="shared" ref="AP18:AP38" si="37">IF($A18=$L$3,I18,0)</f>
        <v>0</v>
      </c>
      <c r="AQ18" s="351">
        <f>IF($A18=$L$3,B_1*Tb_eff/(SQRT(8)*H18),0)</f>
        <v>0</v>
      </c>
      <c r="AR18" s="351">
        <f t="shared" ref="AR18:AR27" si="38">IF($A18=$L$3,B_1*Tb_eff*(1-$G$9)/(SQRT(8)*SQRT($H18^2+$AG$8^2)),0)</f>
        <v>0</v>
      </c>
    </row>
    <row r="19" spans="1:44" s="74" customFormat="1" ht="15" customHeight="1" x14ac:dyDescent="0.2">
      <c r="A19" s="63">
        <f t="shared" ref="A19:A38" si="39">A18+$L$5</f>
        <v>0.21000000000000002</v>
      </c>
      <c r="B19" s="64">
        <f t="shared" si="0"/>
        <v>0.76074497504030936</v>
      </c>
      <c r="C19" s="64">
        <f t="shared" si="1"/>
        <v>2.2607449750403092</v>
      </c>
      <c r="D19" s="183">
        <f t="shared" si="2"/>
        <v>-24.729795918367344</v>
      </c>
      <c r="E19" s="64">
        <f t="shared" si="3"/>
        <v>4.6893000000000004E-3</v>
      </c>
      <c r="F19" s="65">
        <f t="shared" si="4"/>
        <v>26074.925031433977</v>
      </c>
      <c r="G19" s="65">
        <f t="shared" si="5"/>
        <v>9523.8095238095229</v>
      </c>
      <c r="H19" s="66">
        <f t="shared" si="6"/>
        <v>75.51045893617011</v>
      </c>
      <c r="I19" s="66">
        <f t="shared" si="7"/>
        <v>85.394069650253769</v>
      </c>
      <c r="J19" s="426">
        <f t="shared" si="8"/>
        <v>1.8335936583573285</v>
      </c>
      <c r="K19" s="253">
        <f t="shared" si="9"/>
        <v>0.24559054596700913</v>
      </c>
      <c r="L19" s="271">
        <f t="shared" si="10"/>
        <v>0</v>
      </c>
      <c r="M19" s="272">
        <f t="shared" si="11"/>
        <v>0</v>
      </c>
      <c r="N19" s="256">
        <f t="shared" si="30"/>
        <v>0</v>
      </c>
      <c r="O19" s="64">
        <f t="shared" si="12"/>
        <v>-0.24754344483269652</v>
      </c>
      <c r="P19" s="64">
        <f t="shared" si="13"/>
        <v>1.2608713245126161E-2</v>
      </c>
      <c r="Q19" s="64">
        <f t="shared" si="14"/>
        <v>1.7162719115674366E-2</v>
      </c>
      <c r="R19" s="271">
        <f t="shared" si="31"/>
        <v>0.12916231758910374</v>
      </c>
      <c r="S19" s="64">
        <f t="shared" si="32"/>
        <v>0.15575533528787033</v>
      </c>
      <c r="T19" s="344">
        <f>J19+L19+B19+Q19+N19+R19+S19+Pmn</f>
        <v>3.1964190053902866</v>
      </c>
      <c r="U19" s="279">
        <f t="shared" ref="U19:U38" si="40">J19+K19+B19+Q19+N19+R19+S19+Pmn+M19</f>
        <v>3.4420095513572955</v>
      </c>
      <c r="V19" s="168">
        <f t="shared" si="15"/>
        <v>2.4356740303499773</v>
      </c>
      <c r="W19" s="184">
        <f t="shared" si="16"/>
        <v>2.6035809946097133</v>
      </c>
      <c r="X19" s="457">
        <f t="shared" si="17"/>
        <v>-7.3785446990502876</v>
      </c>
      <c r="Y19" s="72">
        <f t="shared" si="18"/>
        <v>0.96532298990460375</v>
      </c>
      <c r="Z19" s="73">
        <f t="shared" si="19"/>
        <v>0.82780127503901413</v>
      </c>
      <c r="AA19" s="301">
        <f t="shared" si="33"/>
        <v>0.65560255007802826</v>
      </c>
      <c r="AB19" s="69">
        <f t="shared" si="20"/>
        <v>0.61955744423104764</v>
      </c>
      <c r="AC19" s="68">
        <f t="shared" si="21"/>
        <v>0.61955744423104764</v>
      </c>
      <c r="AD19" s="68">
        <f t="shared" si="22"/>
        <v>0.65560255007802826</v>
      </c>
      <c r="AE19" s="23">
        <f t="shared" si="23"/>
        <v>1.1711213621694092</v>
      </c>
      <c r="AF19" s="23">
        <f t="shared" si="24"/>
        <v>0.75952461763979828</v>
      </c>
      <c r="AG19" s="23">
        <f t="shared" si="25"/>
        <v>1.1711213621694092</v>
      </c>
      <c r="AH19" s="23">
        <f t="shared" si="26"/>
        <v>0.75952461763979828</v>
      </c>
      <c r="AI19" s="23">
        <f t="shared" si="27"/>
        <v>0.96532298990460375</v>
      </c>
      <c r="AJ19" s="23">
        <f t="shared" si="28"/>
        <v>0.96532298990460375</v>
      </c>
      <c r="AK19" s="295">
        <f t="shared" si="34"/>
        <v>5.0122816752811762E-4</v>
      </c>
      <c r="AL19" s="70">
        <f t="shared" si="29"/>
        <v>5.8</v>
      </c>
      <c r="AM19" s="191">
        <f t="shared" si="35"/>
        <v>0.3</v>
      </c>
      <c r="AN19" s="192">
        <f t="shared" ref="AN19:AN37" si="41">AN20</f>
        <v>8</v>
      </c>
      <c r="AO19" s="71">
        <f t="shared" si="36"/>
        <v>0</v>
      </c>
      <c r="AP19" s="352">
        <f t="shared" si="37"/>
        <v>0</v>
      </c>
      <c r="AQ19" s="353">
        <f>IF($A19=$L$3,B_1*Tb_eff/(SQRT(8)*H19),0)</f>
        <v>0</v>
      </c>
      <c r="AR19" s="353">
        <f t="shared" si="38"/>
        <v>0</v>
      </c>
    </row>
    <row r="20" spans="1:44" s="74" customFormat="1" ht="15" customHeight="1" x14ac:dyDescent="0.2">
      <c r="A20" s="63">
        <f t="shared" si="39"/>
        <v>0.22000000000000003</v>
      </c>
      <c r="B20" s="64">
        <f t="shared" si="0"/>
        <v>0.79697092623270505</v>
      </c>
      <c r="C20" s="64">
        <f t="shared" si="1"/>
        <v>2.2969709262327052</v>
      </c>
      <c r="D20" s="183">
        <f t="shared" si="2"/>
        <v>-25.907405247813411</v>
      </c>
      <c r="E20" s="64">
        <f t="shared" si="3"/>
        <v>4.9126000000000005E-3</v>
      </c>
      <c r="F20" s="65">
        <f t="shared" si="4"/>
        <v>24889.701166368795</v>
      </c>
      <c r="G20" s="65">
        <f t="shared" si="5"/>
        <v>9090.9090909090901</v>
      </c>
      <c r="H20" s="66">
        <f t="shared" si="6"/>
        <v>77.346954687306365</v>
      </c>
      <c r="I20" s="66">
        <f t="shared" si="7"/>
        <v>87.022233492835511</v>
      </c>
      <c r="J20" s="426">
        <f t="shared" si="8"/>
        <v>1.9431621438174729</v>
      </c>
      <c r="K20" s="253">
        <f t="shared" si="9"/>
        <v>0.2463360149228595</v>
      </c>
      <c r="L20" s="271">
        <f t="shared" si="10"/>
        <v>0</v>
      </c>
      <c r="M20" s="272">
        <f t="shared" si="11"/>
        <v>0</v>
      </c>
      <c r="N20" s="256">
        <f t="shared" si="30"/>
        <v>0</v>
      </c>
      <c r="O20" s="64">
        <f t="shared" si="12"/>
        <v>-0.25933122791996782</v>
      </c>
      <c r="P20" s="64">
        <f t="shared" si="13"/>
        <v>1.3797296475685335E-2</v>
      </c>
      <c r="Q20" s="64">
        <f t="shared" si="14"/>
        <v>2.0567073242907234E-2</v>
      </c>
      <c r="R20" s="271">
        <f t="shared" si="31"/>
        <v>0.13187416894259232</v>
      </c>
      <c r="S20" s="64">
        <f t="shared" si="32"/>
        <v>0.16884280970619497</v>
      </c>
      <c r="T20" s="344">
        <f t="shared" ref="T20:T38" si="42">J20+L20+B20+Q20+N20+R20+S20+Pmn</f>
        <v>3.361417121941872</v>
      </c>
      <c r="U20" s="279">
        <f t="shared" si="40"/>
        <v>3.6077531368647318</v>
      </c>
      <c r="V20" s="168">
        <f t="shared" si="15"/>
        <v>2.5644461957091669</v>
      </c>
      <c r="W20" s="184">
        <f t="shared" si="16"/>
        <v>2.4385828780581278</v>
      </c>
      <c r="X20" s="457">
        <f t="shared" si="17"/>
        <v>-7.4274305929325672</v>
      </c>
      <c r="Y20" s="72">
        <f t="shared" si="18"/>
        <v>0.94726204242610701</v>
      </c>
      <c r="Z20" s="73">
        <f t="shared" si="19"/>
        <v>0.8196346036764196</v>
      </c>
      <c r="AA20" s="301">
        <f t="shared" si="33"/>
        <v>0.63926920735283921</v>
      </c>
      <c r="AB20" s="69">
        <f t="shared" si="20"/>
        <v>0.60401842161771535</v>
      </c>
      <c r="AC20" s="68">
        <f t="shared" si="21"/>
        <v>0.60401842161771535</v>
      </c>
      <c r="AD20" s="68">
        <f t="shared" si="22"/>
        <v>0.63926920735283921</v>
      </c>
      <c r="AE20" s="23">
        <f t="shared" si="23"/>
        <v>1.1492099795189479</v>
      </c>
      <c r="AF20" s="23">
        <f t="shared" si="24"/>
        <v>0.74531410533326625</v>
      </c>
      <c r="AG20" s="23">
        <f t="shared" si="25"/>
        <v>1.1492099795189479</v>
      </c>
      <c r="AH20" s="23">
        <f t="shared" si="26"/>
        <v>0.74531410533326625</v>
      </c>
      <c r="AI20" s="23">
        <f t="shared" si="27"/>
        <v>0.94726204242610701</v>
      </c>
      <c r="AJ20" s="23">
        <f t="shared" si="28"/>
        <v>0.94726204242610701</v>
      </c>
      <c r="AK20" s="295">
        <f t="shared" si="34"/>
        <v>4.8626970109123509E-4</v>
      </c>
      <c r="AL20" s="70">
        <f t="shared" si="29"/>
        <v>5.8</v>
      </c>
      <c r="AM20" s="191">
        <f t="shared" si="35"/>
        <v>0.3</v>
      </c>
      <c r="AN20" s="192">
        <f t="shared" si="41"/>
        <v>8</v>
      </c>
      <c r="AO20" s="71">
        <f t="shared" si="36"/>
        <v>0</v>
      </c>
      <c r="AP20" s="352">
        <f t="shared" si="37"/>
        <v>0</v>
      </c>
      <c r="AQ20" s="353">
        <f t="shared" ref="AQ20:AQ37" si="43">IF($A20=$L$3,B_1*Tb_eff/(SQRT(8)*H20),0)</f>
        <v>0</v>
      </c>
      <c r="AR20" s="353">
        <f t="shared" si="38"/>
        <v>0</v>
      </c>
    </row>
    <row r="21" spans="1:44" s="74" customFormat="1" ht="15" customHeight="1" x14ac:dyDescent="0.2">
      <c r="A21" s="63">
        <f t="shared" si="39"/>
        <v>0.23000000000000004</v>
      </c>
      <c r="B21" s="64">
        <f t="shared" si="0"/>
        <v>0.83319687742510073</v>
      </c>
      <c r="C21" s="64">
        <f t="shared" si="1"/>
        <v>2.3331968774251006</v>
      </c>
      <c r="D21" s="183">
        <f t="shared" si="2"/>
        <v>-27.085014577259475</v>
      </c>
      <c r="E21" s="64">
        <f t="shared" si="3"/>
        <v>5.1359000000000005E-3</v>
      </c>
      <c r="F21" s="65">
        <f t="shared" si="4"/>
        <v>23807.540246091892</v>
      </c>
      <c r="G21" s="65">
        <f t="shared" si="5"/>
        <v>8695.6521739130421</v>
      </c>
      <c r="H21" s="66">
        <f t="shared" si="6"/>
        <v>79.223293461101449</v>
      </c>
      <c r="I21" s="66">
        <f t="shared" si="7"/>
        <v>88.694125789170272</v>
      </c>
      <c r="J21" s="426">
        <f t="shared" si="8"/>
        <v>2.0581712131543575</v>
      </c>
      <c r="K21" s="253">
        <f t="shared" si="9"/>
        <v>0.24704034872804614</v>
      </c>
      <c r="L21" s="271">
        <f t="shared" si="10"/>
        <v>0</v>
      </c>
      <c r="M21" s="272">
        <f t="shared" si="11"/>
        <v>0</v>
      </c>
      <c r="N21" s="256">
        <f t="shared" si="30"/>
        <v>0</v>
      </c>
      <c r="O21" s="64">
        <f t="shared" si="12"/>
        <v>-0.27111901100723906</v>
      </c>
      <c r="P21" s="64">
        <f t="shared" si="13"/>
        <v>1.5033581173347747E-2</v>
      </c>
      <c r="Q21" s="64">
        <f t="shared" si="14"/>
        <v>2.4439706715681034E-2</v>
      </c>
      <c r="R21" s="271">
        <f t="shared" si="31"/>
        <v>0.13505477459742365</v>
      </c>
      <c r="S21" s="64">
        <f t="shared" si="32"/>
        <v>0.1835920837920107</v>
      </c>
      <c r="T21" s="344">
        <f t="shared" si="42"/>
        <v>3.5344546556845735</v>
      </c>
      <c r="U21" s="279">
        <f t="shared" si="40"/>
        <v>3.7814950044126197</v>
      </c>
      <c r="V21" s="168">
        <f t="shared" si="15"/>
        <v>2.7012577782594729</v>
      </c>
      <c r="W21" s="184">
        <f t="shared" si="16"/>
        <v>2.2655453443154263</v>
      </c>
      <c r="X21" s="457">
        <f t="shared" si="17"/>
        <v>-7.4780844202954757</v>
      </c>
      <c r="Y21" s="72">
        <f t="shared" si="18"/>
        <v>0.92940606721634955</v>
      </c>
      <c r="Z21" s="73">
        <f t="shared" si="19"/>
        <v>0.81128119355004791</v>
      </c>
      <c r="AA21" s="301">
        <f t="shared" si="33"/>
        <v>0.62256238710009582</v>
      </c>
      <c r="AB21" s="69">
        <f t="shared" si="20"/>
        <v>0.58813746296171221</v>
      </c>
      <c r="AC21" s="68">
        <f t="shared" si="21"/>
        <v>0.58813746296171221</v>
      </c>
      <c r="AD21" s="68">
        <f t="shared" si="22"/>
        <v>0.62256238710009582</v>
      </c>
      <c r="AE21" s="23">
        <f t="shared" si="23"/>
        <v>1.1275472674223668</v>
      </c>
      <c r="AF21" s="23">
        <f t="shared" si="24"/>
        <v>0.73126486701033244</v>
      </c>
      <c r="AG21" s="23">
        <f t="shared" si="25"/>
        <v>1.1275472674223668</v>
      </c>
      <c r="AH21" s="23">
        <f t="shared" si="26"/>
        <v>0.73126486701033244</v>
      </c>
      <c r="AI21" s="23">
        <f t="shared" si="27"/>
        <v>0.92940606721634955</v>
      </c>
      <c r="AJ21" s="23">
        <f t="shared" si="28"/>
        <v>0.92940606721634955</v>
      </c>
      <c r="AK21" s="295">
        <f t="shared" si="34"/>
        <v>4.7196609410653706E-4</v>
      </c>
      <c r="AL21" s="70">
        <f t="shared" si="29"/>
        <v>5.8</v>
      </c>
      <c r="AM21" s="191">
        <f t="shared" si="35"/>
        <v>0.3</v>
      </c>
      <c r="AN21" s="192">
        <f t="shared" si="41"/>
        <v>8</v>
      </c>
      <c r="AO21" s="71">
        <f t="shared" si="36"/>
        <v>0</v>
      </c>
      <c r="AP21" s="352">
        <f t="shared" si="37"/>
        <v>0</v>
      </c>
      <c r="AQ21" s="353">
        <f t="shared" si="43"/>
        <v>0</v>
      </c>
      <c r="AR21" s="353">
        <f t="shared" si="38"/>
        <v>0</v>
      </c>
    </row>
    <row r="22" spans="1:44" s="74" customFormat="1" ht="15" customHeight="1" x14ac:dyDescent="0.2">
      <c r="A22" s="63">
        <f t="shared" si="39"/>
        <v>0.24000000000000005</v>
      </c>
      <c r="B22" s="64">
        <f t="shared" si="0"/>
        <v>0.86942282861749653</v>
      </c>
      <c r="C22" s="64">
        <f t="shared" si="1"/>
        <v>2.3694228286174965</v>
      </c>
      <c r="D22" s="183">
        <f t="shared" si="2"/>
        <v>-28.262623906705539</v>
      </c>
      <c r="E22" s="64">
        <f t="shared" si="3"/>
        <v>5.3592000000000006E-3</v>
      </c>
      <c r="F22" s="65">
        <f t="shared" si="4"/>
        <v>22815.559402504728</v>
      </c>
      <c r="G22" s="65">
        <f t="shared" si="5"/>
        <v>8333.3333333333321</v>
      </c>
      <c r="H22" s="66">
        <f t="shared" si="6"/>
        <v>81.136711117851917</v>
      </c>
      <c r="I22" s="66">
        <f t="shared" si="7"/>
        <v>90.407320575842277</v>
      </c>
      <c r="J22" s="426">
        <f t="shared" si="8"/>
        <v>2.1786319548152084</v>
      </c>
      <c r="K22" s="253">
        <f t="shared" si="9"/>
        <v>0.24772225506366663</v>
      </c>
      <c r="L22" s="271">
        <f t="shared" si="10"/>
        <v>0</v>
      </c>
      <c r="M22" s="272">
        <f t="shared" si="11"/>
        <v>0</v>
      </c>
      <c r="N22" s="256">
        <f t="shared" si="30"/>
        <v>0</v>
      </c>
      <c r="O22" s="64">
        <f t="shared" si="12"/>
        <v>-0.28290679409451036</v>
      </c>
      <c r="P22" s="64">
        <f t="shared" si="13"/>
        <v>1.6316585100068077E-2</v>
      </c>
      <c r="Q22" s="64">
        <f t="shared" si="14"/>
        <v>2.8818182651728981E-2</v>
      </c>
      <c r="R22" s="271">
        <f t="shared" si="31"/>
        <v>0.1387404420577853</v>
      </c>
      <c r="S22" s="64">
        <f t="shared" si="32"/>
        <v>0.20023164906831298</v>
      </c>
      <c r="T22" s="344">
        <f t="shared" si="42"/>
        <v>3.7158450572105322</v>
      </c>
      <c r="U22" s="279">
        <f t="shared" si="40"/>
        <v>3.9635673122741988</v>
      </c>
      <c r="V22" s="168">
        <f t="shared" si="15"/>
        <v>2.8464222285930356</v>
      </c>
      <c r="W22" s="184">
        <f t="shared" si="16"/>
        <v>2.0841549427894677</v>
      </c>
      <c r="X22" s="457">
        <f t="shared" si="17"/>
        <v>-7.530694297522432</v>
      </c>
      <c r="Y22" s="72">
        <f t="shared" si="18"/>
        <v>0.91179406833269006</v>
      </c>
      <c r="Z22" s="73">
        <f t="shared" si="19"/>
        <v>0.80276579480720311</v>
      </c>
      <c r="AA22" s="301">
        <f t="shared" si="33"/>
        <v>0.60553158961440623</v>
      </c>
      <c r="AB22" s="69">
        <f t="shared" si="20"/>
        <v>0.57195857966404606</v>
      </c>
      <c r="AC22" s="68">
        <f t="shared" si="21"/>
        <v>0.57195857966404606</v>
      </c>
      <c r="AD22" s="68">
        <f t="shared" si="22"/>
        <v>0.60553158961440623</v>
      </c>
      <c r="AE22" s="23">
        <f t="shared" si="23"/>
        <v>1.1061805452590463</v>
      </c>
      <c r="AF22" s="23">
        <f t="shared" si="24"/>
        <v>0.71740759140633381</v>
      </c>
      <c r="AG22" s="23">
        <f t="shared" si="25"/>
        <v>1.1061805452590463</v>
      </c>
      <c r="AH22" s="23">
        <f t="shared" si="26"/>
        <v>0.71740759140633381</v>
      </c>
      <c r="AI22" s="23">
        <f t="shared" si="27"/>
        <v>0.91179406833269006</v>
      </c>
      <c r="AJ22" s="23">
        <f t="shared" si="28"/>
        <v>0.91179406833269006</v>
      </c>
      <c r="AK22" s="295">
        <f t="shared" si="34"/>
        <v>4.5829707872328996E-4</v>
      </c>
      <c r="AL22" s="70">
        <f t="shared" si="29"/>
        <v>5.8</v>
      </c>
      <c r="AM22" s="191">
        <f t="shared" si="35"/>
        <v>0.3</v>
      </c>
      <c r="AN22" s="192">
        <f t="shared" si="41"/>
        <v>8</v>
      </c>
      <c r="AO22" s="71">
        <f t="shared" si="36"/>
        <v>0</v>
      </c>
      <c r="AP22" s="352">
        <f t="shared" si="37"/>
        <v>0</v>
      </c>
      <c r="AQ22" s="353">
        <f t="shared" si="43"/>
        <v>0</v>
      </c>
      <c r="AR22" s="353">
        <f t="shared" si="38"/>
        <v>0</v>
      </c>
    </row>
    <row r="23" spans="1:44" s="62" customFormat="1" ht="15" customHeight="1" x14ac:dyDescent="0.25">
      <c r="A23" s="51">
        <f t="shared" si="39"/>
        <v>0.25000000000000006</v>
      </c>
      <c r="B23" s="52">
        <f t="shared" si="0"/>
        <v>0.90564877980989222</v>
      </c>
      <c r="C23" s="52">
        <f t="shared" si="1"/>
        <v>2.4056487798098924</v>
      </c>
      <c r="D23" s="180">
        <f t="shared" si="2"/>
        <v>-29.440233236151606</v>
      </c>
      <c r="E23" s="52">
        <f t="shared" si="3"/>
        <v>5.5825000000000007E-3</v>
      </c>
      <c r="F23" s="53">
        <f t="shared" si="4"/>
        <v>21902.937026404539</v>
      </c>
      <c r="G23" s="53">
        <f t="shared" si="5"/>
        <v>7999.9999999999982</v>
      </c>
      <c r="H23" s="54">
        <f t="shared" si="6"/>
        <v>83.084645946131914</v>
      </c>
      <c r="I23" s="54">
        <f t="shared" si="7"/>
        <v>92.159514509764279</v>
      </c>
      <c r="J23" s="425">
        <f t="shared" si="8"/>
        <v>2.3045630114349915</v>
      </c>
      <c r="K23" s="252">
        <f t="shared" si="9"/>
        <v>0.24840234149973961</v>
      </c>
      <c r="L23" s="268">
        <f t="shared" si="10"/>
        <v>0</v>
      </c>
      <c r="M23" s="269">
        <f t="shared" si="11"/>
        <v>0</v>
      </c>
      <c r="N23" s="270">
        <f t="shared" si="30"/>
        <v>0</v>
      </c>
      <c r="O23" s="52">
        <f t="shared" si="12"/>
        <v>-0.2946945771817816</v>
      </c>
      <c r="P23" s="52">
        <f t="shared" si="13"/>
        <v>1.7645293455766011E-2</v>
      </c>
      <c r="Q23" s="52">
        <f t="shared" si="14"/>
        <v>3.3740919330850223E-2</v>
      </c>
      <c r="R23" s="268">
        <f t="shared" si="31"/>
        <v>0.14297319408500625</v>
      </c>
      <c r="S23" s="52">
        <f t="shared" si="32"/>
        <v>0.21903278498823214</v>
      </c>
      <c r="T23" s="282">
        <f t="shared" si="42"/>
        <v>3.9059586896489726</v>
      </c>
      <c r="U23" s="278">
        <f t="shared" si="40"/>
        <v>4.1543610311487118</v>
      </c>
      <c r="V23" s="181">
        <f t="shared" si="15"/>
        <v>3.0003099098390802</v>
      </c>
      <c r="W23" s="182">
        <f t="shared" si="16"/>
        <v>1.8940413103510272</v>
      </c>
      <c r="X23" s="456">
        <f t="shared" si="17"/>
        <v>-7.58547630538113</v>
      </c>
      <c r="Y23" s="59">
        <f t="shared" si="18"/>
        <v>0.89445847315277693</v>
      </c>
      <c r="Z23" s="60">
        <f t="shared" si="19"/>
        <v>0.79411264929616909</v>
      </c>
      <c r="AA23" s="300">
        <f t="shared" si="33"/>
        <v>0.58822529859233819</v>
      </c>
      <c r="AB23" s="56">
        <f t="shared" si="20"/>
        <v>0.55552481665172326</v>
      </c>
      <c r="AC23" s="55">
        <f t="shared" si="21"/>
        <v>0.55552481665172326</v>
      </c>
      <c r="AD23" s="55">
        <f t="shared" si="22"/>
        <v>0.58822529859233819</v>
      </c>
      <c r="AE23" s="61">
        <f t="shared" si="23"/>
        <v>1.0851491536383788</v>
      </c>
      <c r="AF23" s="61">
        <f t="shared" si="24"/>
        <v>0.70376779266717493</v>
      </c>
      <c r="AG23" s="61">
        <f t="shared" si="25"/>
        <v>1.0851491536383788</v>
      </c>
      <c r="AH23" s="61">
        <f t="shared" si="26"/>
        <v>0.70376779266717493</v>
      </c>
      <c r="AI23" s="61">
        <f t="shared" si="27"/>
        <v>0.89445847315277693</v>
      </c>
      <c r="AJ23" s="61">
        <f t="shared" si="28"/>
        <v>0.89445847315277693</v>
      </c>
      <c r="AK23" s="306">
        <f t="shared" si="34"/>
        <v>4.4523953849160617E-4</v>
      </c>
      <c r="AL23" s="57">
        <f t="shared" si="29"/>
        <v>5.8</v>
      </c>
      <c r="AM23" s="190">
        <f t="shared" si="35"/>
        <v>0.3</v>
      </c>
      <c r="AN23" s="193">
        <f t="shared" si="41"/>
        <v>8</v>
      </c>
      <c r="AO23" s="58">
        <f t="shared" si="36"/>
        <v>0</v>
      </c>
      <c r="AP23" s="350">
        <f t="shared" si="37"/>
        <v>0</v>
      </c>
      <c r="AQ23" s="351">
        <f t="shared" si="43"/>
        <v>0</v>
      </c>
      <c r="AR23" s="351">
        <f t="shared" si="38"/>
        <v>0</v>
      </c>
    </row>
    <row r="24" spans="1:44" s="74" customFormat="1" ht="15" customHeight="1" x14ac:dyDescent="0.2">
      <c r="A24" s="63">
        <f t="shared" si="39"/>
        <v>0.26000000000000006</v>
      </c>
      <c r="B24" s="64">
        <f t="shared" si="0"/>
        <v>0.94187473100228791</v>
      </c>
      <c r="C24" s="64">
        <f t="shared" si="1"/>
        <v>2.4418747310022879</v>
      </c>
      <c r="D24" s="183">
        <f t="shared" si="2"/>
        <v>-30.61784256559767</v>
      </c>
      <c r="E24" s="64">
        <f t="shared" si="3"/>
        <v>5.8058000000000016E-3</v>
      </c>
      <c r="F24" s="65">
        <f t="shared" si="4"/>
        <v>21060.516371542824</v>
      </c>
      <c r="G24" s="65">
        <f t="shared" si="5"/>
        <v>7692.3076923076906</v>
      </c>
      <c r="H24" s="66">
        <f t="shared" si="6"/>
        <v>85.064726707024761</v>
      </c>
      <c r="I24" s="66">
        <f t="shared" si="7"/>
        <v>93.948525546823618</v>
      </c>
      <c r="J24" s="426">
        <f t="shared" si="8"/>
        <v>2.435993136374079</v>
      </c>
      <c r="K24" s="253">
        <f t="shared" si="9"/>
        <v>0.24910284767522883</v>
      </c>
      <c r="L24" s="271">
        <f t="shared" si="10"/>
        <v>0</v>
      </c>
      <c r="M24" s="272">
        <f t="shared" si="11"/>
        <v>0</v>
      </c>
      <c r="N24" s="256">
        <f>-10*LOG10(1-2*$L$10*10^(-$C24/10)*$AB$5*SQRT(2*ER*($AD24*(ER-1)+ER+1))/($AD24*(ER-1)))</f>
        <v>0</v>
      </c>
      <c r="O24" s="64">
        <f t="shared" si="12"/>
        <v>-0.3064823602690529</v>
      </c>
      <c r="P24" s="64">
        <f t="shared" si="13"/>
        <v>1.9018660214424988E-2</v>
      </c>
      <c r="Q24" s="64">
        <f t="shared" si="14"/>
        <v>3.9247144084974178E-2</v>
      </c>
      <c r="R24" s="271">
        <f t="shared" ref="R24:R37" si="44">10*LOG10(1/SQRT(1-AK24*(Q/AA24)^2))</f>
        <v>0.14780193709451794</v>
      </c>
      <c r="S24" s="64">
        <f t="shared" ref="S24:S37" si="45">-10*LOG10(AA24*SQRT(1-Q*Q*((SD_blw^2+AK24)/AA24^2+Vmn+(P24*P24))))-$T$13-J24-L24-Q24-N24-R24-Pmn</f>
        <v>0.24031981774172201</v>
      </c>
      <c r="T24" s="344">
        <f t="shared" si="42"/>
        <v>4.1052367662975806</v>
      </c>
      <c r="U24" s="279">
        <f t="shared" si="40"/>
        <v>4.3543396139728099</v>
      </c>
      <c r="V24" s="168">
        <f t="shared" si="15"/>
        <v>3.1633620352952927</v>
      </c>
      <c r="W24" s="184">
        <f t="shared" si="16"/>
        <v>1.6947632337024192</v>
      </c>
      <c r="X24" s="457">
        <f t="shared" si="17"/>
        <v>-7.6426807407139048</v>
      </c>
      <c r="Y24" s="72">
        <f t="shared" si="18"/>
        <v>0.87742578348204847</v>
      </c>
      <c r="Z24" s="73">
        <f t="shared" si="19"/>
        <v>0.78534527840808521</v>
      </c>
      <c r="AA24" s="301">
        <f>$AD24*(1-2*$L$10*10^(-$C24/10)*$AB$5*SQRT(2*ER*($AD24*(ER-1)+ER+1))/($AD24*(ER-1)))</f>
        <v>0.57069055681617042</v>
      </c>
      <c r="AB24" s="69">
        <f t="shared" si="20"/>
        <v>0.53887793542276707</v>
      </c>
      <c r="AC24" s="68">
        <f t="shared" si="21"/>
        <v>0.53887793542276707</v>
      </c>
      <c r="AD24" s="68">
        <f t="shared" si="22"/>
        <v>0.57069055681617042</v>
      </c>
      <c r="AE24" s="23">
        <f t="shared" si="23"/>
        <v>1.0644852443176616</v>
      </c>
      <c r="AF24" s="23">
        <f t="shared" si="24"/>
        <v>0.69036632264643527</v>
      </c>
      <c r="AG24" s="23">
        <f t="shared" si="25"/>
        <v>1.0644852443176616</v>
      </c>
      <c r="AH24" s="23">
        <f t="shared" si="26"/>
        <v>0.69036632264643527</v>
      </c>
      <c r="AI24" s="23">
        <f t="shared" si="27"/>
        <v>0.87742578348204847</v>
      </c>
      <c r="AJ24" s="23">
        <f t="shared" si="28"/>
        <v>0.87742578348204847</v>
      </c>
      <c r="AK24" s="295">
        <f t="shared" ref="AK24:AK38" si="46">kRIN*10^6*$AK$7*$AK$7/(SQRT((1/F24)^2+(1/G24)^2+0.477*(1/$T$5)^2))*10^($G$4/10)</f>
        <v>4.3276857647681961E-4</v>
      </c>
      <c r="AL24" s="70">
        <f t="shared" si="29"/>
        <v>5.8</v>
      </c>
      <c r="AM24" s="191">
        <f t="shared" si="35"/>
        <v>0.3</v>
      </c>
      <c r="AN24" s="192">
        <f t="shared" si="41"/>
        <v>8</v>
      </c>
      <c r="AO24" s="71">
        <f t="shared" si="36"/>
        <v>0</v>
      </c>
      <c r="AP24" s="352">
        <f t="shared" si="37"/>
        <v>0</v>
      </c>
      <c r="AQ24" s="353">
        <f t="shared" si="43"/>
        <v>0</v>
      </c>
      <c r="AR24" s="353">
        <f t="shared" si="38"/>
        <v>0</v>
      </c>
    </row>
    <row r="25" spans="1:44" s="74" customFormat="1" ht="15" customHeight="1" x14ac:dyDescent="0.2">
      <c r="A25" s="63">
        <f t="shared" si="39"/>
        <v>0.27000000000000007</v>
      </c>
      <c r="B25" s="64">
        <f t="shared" si="0"/>
        <v>0.9781006821946836</v>
      </c>
      <c r="C25" s="64">
        <f t="shared" si="1"/>
        <v>2.4781006821946834</v>
      </c>
      <c r="D25" s="183">
        <f t="shared" si="2"/>
        <v>-31.795451895043737</v>
      </c>
      <c r="E25" s="64">
        <f t="shared" si="3"/>
        <v>6.0291000000000016E-3</v>
      </c>
      <c r="F25" s="65">
        <f t="shared" si="4"/>
        <v>20280.497246670864</v>
      </c>
      <c r="G25" s="65">
        <f t="shared" si="5"/>
        <v>7407.4074074074051</v>
      </c>
      <c r="H25" s="66">
        <f t="shared" si="6"/>
        <v>87.074760431837618</v>
      </c>
      <c r="I25" s="66">
        <f t="shared" si="7"/>
        <v>95.772290496485837</v>
      </c>
      <c r="J25" s="426">
        <f t="shared" si="8"/>
        <v>2.5729637909572061</v>
      </c>
      <c r="K25" s="253">
        <f t="shared" si="9"/>
        <v>0.24984745081038628</v>
      </c>
      <c r="L25" s="271">
        <f t="shared" si="10"/>
        <v>0</v>
      </c>
      <c r="M25" s="272">
        <f t="shared" si="11"/>
        <v>0</v>
      </c>
      <c r="N25" s="256">
        <f>-10*LOG10(1-2*$L$10*10^(-$C25/10)*$AB$5*SQRT(2*ER*($AD25*(ER-1)+ER+1))/($AD25*(ER-1)))</f>
        <v>0</v>
      </c>
      <c r="O25" s="64">
        <f t="shared" si="12"/>
        <v>-0.31827014335632414</v>
      </c>
      <c r="P25" s="64">
        <f t="shared" si="13"/>
        <v>2.0435609494543767E-2</v>
      </c>
      <c r="Q25" s="64">
        <f t="shared" si="14"/>
        <v>4.537685491900452E-2</v>
      </c>
      <c r="R25" s="271">
        <f t="shared" si="44"/>
        <v>0.15328382447476052</v>
      </c>
      <c r="S25" s="64">
        <f t="shared" si="45"/>
        <v>0.26448342841844924</v>
      </c>
      <c r="T25" s="344">
        <f t="shared" si="42"/>
        <v>4.3142085809641033</v>
      </c>
      <c r="U25" s="279">
        <f t="shared" si="40"/>
        <v>4.5640560317744896</v>
      </c>
      <c r="V25" s="168">
        <f t="shared" si="15"/>
        <v>3.3361078987694199</v>
      </c>
      <c r="W25" s="184">
        <f t="shared" si="16"/>
        <v>1.4857914190358965</v>
      </c>
      <c r="X25" s="457">
        <f t="shared" si="17"/>
        <v>-7.7026000954589371</v>
      </c>
      <c r="Y25" s="72">
        <f t="shared" si="18"/>
        <v>0.86071720961847165</v>
      </c>
      <c r="Z25" s="73">
        <f t="shared" si="19"/>
        <v>0.77648630542483377</v>
      </c>
      <c r="AA25" s="301">
        <f>$AD25*(1-2*$L$10*10^(-$C25/10)*$AB$5*SQRT(2*ER*($AD25*(ER-1)+ER+1))/($AD25*(ER-1)))</f>
        <v>0.55297261084966753</v>
      </c>
      <c r="AB25" s="69">
        <f t="shared" si="20"/>
        <v>0.52205814492215286</v>
      </c>
      <c r="AC25" s="68">
        <f t="shared" si="21"/>
        <v>0.52205814492215286</v>
      </c>
      <c r="AD25" s="68">
        <f t="shared" si="22"/>
        <v>0.55297261084966753</v>
      </c>
      <c r="AE25" s="23">
        <f t="shared" si="23"/>
        <v>1.0442145494438619</v>
      </c>
      <c r="AF25" s="23">
        <f t="shared" si="24"/>
        <v>0.67721986979308135</v>
      </c>
      <c r="AG25" s="23">
        <f t="shared" si="25"/>
        <v>1.0442145494438619</v>
      </c>
      <c r="AH25" s="23">
        <f t="shared" si="26"/>
        <v>0.67721986979308135</v>
      </c>
      <c r="AI25" s="23">
        <f t="shared" si="27"/>
        <v>0.86071720961847165</v>
      </c>
      <c r="AJ25" s="23">
        <f t="shared" si="28"/>
        <v>0.86071720961847165</v>
      </c>
      <c r="AK25" s="295">
        <f t="shared" si="46"/>
        <v>4.2085833677884572E-4</v>
      </c>
      <c r="AL25" s="70">
        <f t="shared" si="29"/>
        <v>5.8</v>
      </c>
      <c r="AM25" s="191">
        <f t="shared" si="35"/>
        <v>0.3</v>
      </c>
      <c r="AN25" s="192">
        <f t="shared" si="41"/>
        <v>8</v>
      </c>
      <c r="AO25" s="71">
        <f t="shared" si="36"/>
        <v>0</v>
      </c>
      <c r="AP25" s="352">
        <f t="shared" si="37"/>
        <v>0</v>
      </c>
      <c r="AQ25" s="353">
        <f t="shared" si="43"/>
        <v>0</v>
      </c>
      <c r="AR25" s="353">
        <f t="shared" si="38"/>
        <v>0</v>
      </c>
    </row>
    <row r="26" spans="1:44" s="74" customFormat="1" ht="15" customHeight="1" x14ac:dyDescent="0.2">
      <c r="A26" s="63">
        <f t="shared" si="39"/>
        <v>0.28000000000000008</v>
      </c>
      <c r="B26" s="64">
        <f t="shared" si="0"/>
        <v>1.0143266333870793</v>
      </c>
      <c r="C26" s="64">
        <f t="shared" si="1"/>
        <v>2.5143266333870793</v>
      </c>
      <c r="D26" s="183">
        <f t="shared" si="2"/>
        <v>-32.973061224489797</v>
      </c>
      <c r="E26" s="64">
        <f t="shared" si="3"/>
        <v>6.2524000000000017E-3</v>
      </c>
      <c r="F26" s="65">
        <f t="shared" si="4"/>
        <v>19556.193773575476</v>
      </c>
      <c r="G26" s="65">
        <f t="shared" si="5"/>
        <v>7142.8571428571404</v>
      </c>
      <c r="H26" s="66">
        <f t="shared" si="6"/>
        <v>89.112720279191294</v>
      </c>
      <c r="I26" s="66">
        <f t="shared" si="7"/>
        <v>97.628861707175261</v>
      </c>
      <c r="J26" s="426">
        <f t="shared" si="8"/>
        <v>2.7155317955155929</v>
      </c>
      <c r="K26" s="253">
        <f t="shared" si="9"/>
        <v>0.25066115016016299</v>
      </c>
      <c r="L26" s="271">
        <f t="shared" si="10"/>
        <v>0</v>
      </c>
      <c r="M26" s="272">
        <f t="shared" si="11"/>
        <v>0</v>
      </c>
      <c r="N26" s="256">
        <f t="shared" ref="N26:N38" si="47">-10*LOG10(1-2*$L$10*10^(-$C26/10)*$AB$5*SQRT(2*ER*($AD26*(ER-1)+ER+1))/($AD26*(ER-1)))</f>
        <v>0</v>
      </c>
      <c r="O26" s="64">
        <f t="shared" si="12"/>
        <v>-0.33005792644359544</v>
      </c>
      <c r="P26" s="64">
        <f t="shared" si="13"/>
        <v>2.1895036961431392E-2</v>
      </c>
      <c r="Q26" s="64">
        <f t="shared" si="14"/>
        <v>5.2170790451369665E-2</v>
      </c>
      <c r="R26" s="271">
        <f t="shared" si="44"/>
        <v>0.15948587933364949</v>
      </c>
      <c r="S26" s="64">
        <f t="shared" si="45"/>
        <v>0.29199813452311868</v>
      </c>
      <c r="T26" s="344">
        <f t="shared" si="42"/>
        <v>4.5335132332108099</v>
      </c>
      <c r="U26" s="279">
        <f t="shared" si="40"/>
        <v>4.7841743833709724</v>
      </c>
      <c r="V26" s="168">
        <f t="shared" si="15"/>
        <v>3.5191865998237306</v>
      </c>
      <c r="W26" s="184">
        <f t="shared" si="16"/>
        <v>1.2664867667891899</v>
      </c>
      <c r="X26" s="457">
        <f t="shared" si="17"/>
        <v>-7.7655793900949224</v>
      </c>
      <c r="Y26" s="72">
        <f t="shared" si="18"/>
        <v>0.84434927534186877</v>
      </c>
      <c r="Z26" s="73">
        <f t="shared" si="19"/>
        <v>0.76755731236832969</v>
      </c>
      <c r="AA26" s="301">
        <f t="shared" ref="AA26:AA38" si="48">$AD26*(1-2*$L$10*10^(-$C26/10)*$AB$5*SQRT(2*ER*($AD26*(ER-1)+ER+1))/($AD26*(ER-1)))</f>
        <v>0.53511462473665938</v>
      </c>
      <c r="AB26" s="69">
        <f t="shared" si="20"/>
        <v>0.50510388097218661</v>
      </c>
      <c r="AC26" s="68">
        <f t="shared" si="21"/>
        <v>0.50510388097218661</v>
      </c>
      <c r="AD26" s="68">
        <f t="shared" si="22"/>
        <v>0.53511462473665938</v>
      </c>
      <c r="AE26" s="23">
        <f t="shared" si="23"/>
        <v>1.0243571155213478</v>
      </c>
      <c r="AF26" s="23">
        <f t="shared" si="24"/>
        <v>0.66434143516238986</v>
      </c>
      <c r="AG26" s="23">
        <f t="shared" si="25"/>
        <v>1.0243571155213478</v>
      </c>
      <c r="AH26" s="23">
        <f t="shared" si="26"/>
        <v>0.66434143516238986</v>
      </c>
      <c r="AI26" s="23">
        <f t="shared" si="27"/>
        <v>0.84434927534186877</v>
      </c>
      <c r="AJ26" s="23">
        <f t="shared" si="28"/>
        <v>0.84434927534186877</v>
      </c>
      <c r="AK26" s="295">
        <f t="shared" si="46"/>
        <v>4.0948262757244743E-4</v>
      </c>
      <c r="AL26" s="70">
        <f t="shared" si="29"/>
        <v>5.8</v>
      </c>
      <c r="AM26" s="191">
        <f t="shared" si="35"/>
        <v>0.3</v>
      </c>
      <c r="AN26" s="192">
        <f t="shared" si="41"/>
        <v>8</v>
      </c>
      <c r="AO26" s="71">
        <f t="shared" si="36"/>
        <v>0</v>
      </c>
      <c r="AP26" s="352">
        <f t="shared" si="37"/>
        <v>0</v>
      </c>
      <c r="AQ26" s="353">
        <f t="shared" si="43"/>
        <v>0</v>
      </c>
      <c r="AR26" s="353">
        <f t="shared" si="38"/>
        <v>0</v>
      </c>
    </row>
    <row r="27" spans="1:44" s="74" customFormat="1" ht="15" customHeight="1" x14ac:dyDescent="0.2">
      <c r="A27" s="63">
        <f t="shared" si="39"/>
        <v>0.29000000000000009</v>
      </c>
      <c r="B27" s="64">
        <f t="shared" si="0"/>
        <v>1.050552584579475</v>
      </c>
      <c r="C27" s="64">
        <f t="shared" si="1"/>
        <v>2.5505525845794752</v>
      </c>
      <c r="D27" s="183">
        <f t="shared" si="2"/>
        <v>-34.150670553935868</v>
      </c>
      <c r="E27" s="64">
        <f t="shared" si="3"/>
        <v>6.4757000000000018E-3</v>
      </c>
      <c r="F27" s="65">
        <f t="shared" si="4"/>
        <v>18881.84226414184</v>
      </c>
      <c r="G27" s="65">
        <f t="shared" si="5"/>
        <v>6896.5517241379284</v>
      </c>
      <c r="H27" s="66">
        <f t="shared" si="6"/>
        <v>91.176733674919788</v>
      </c>
      <c r="I27" s="66">
        <f t="shared" si="7"/>
        <v>99.516403101743037</v>
      </c>
      <c r="J27" s="426">
        <f t="shared" si="8"/>
        <v>2.8637720609700446</v>
      </c>
      <c r="K27" s="253">
        <f t="shared" si="9"/>
        <v>0.25157023433802816</v>
      </c>
      <c r="L27" s="271">
        <f t="shared" si="10"/>
        <v>0</v>
      </c>
      <c r="M27" s="272">
        <f t="shared" si="11"/>
        <v>0</v>
      </c>
      <c r="N27" s="256">
        <f t="shared" si="47"/>
        <v>0</v>
      </c>
      <c r="O27" s="64">
        <f t="shared" si="12"/>
        <v>-0.34184570953086674</v>
      </c>
      <c r="P27" s="64">
        <f t="shared" si="13"/>
        <v>2.3395811258791088E-2</v>
      </c>
      <c r="Q27" s="64">
        <f t="shared" si="14"/>
        <v>5.9670408738314362E-2</v>
      </c>
      <c r="R27" s="271">
        <f t="shared" si="44"/>
        <v>0.1664869577266932</v>
      </c>
      <c r="S27" s="64">
        <f t="shared" si="45"/>
        <v>0.32344557117027911</v>
      </c>
      <c r="T27" s="344">
        <f t="shared" si="42"/>
        <v>4.763927583184806</v>
      </c>
      <c r="U27" s="279">
        <f t="shared" si="40"/>
        <v>5.0154978175228342</v>
      </c>
      <c r="V27" s="168">
        <f t="shared" si="15"/>
        <v>3.7133749986053308</v>
      </c>
      <c r="W27" s="184">
        <f t="shared" si="16"/>
        <v>1.0360724168151938</v>
      </c>
      <c r="X27" s="457">
        <f t="shared" si="17"/>
        <v>-7.8320297562908872</v>
      </c>
      <c r="Y27" s="72">
        <f t="shared" si="18"/>
        <v>0.82833438574571172</v>
      </c>
      <c r="Z27" s="73">
        <f t="shared" si="19"/>
        <v>0.75857873008145216</v>
      </c>
      <c r="AA27" s="301">
        <f t="shared" si="48"/>
        <v>0.51715746016290431</v>
      </c>
      <c r="AB27" s="69">
        <f t="shared" si="20"/>
        <v>0.48805163325529377</v>
      </c>
      <c r="AC27" s="68">
        <f t="shared" si="21"/>
        <v>0.48805163325529377</v>
      </c>
      <c r="AD27" s="68">
        <f t="shared" si="22"/>
        <v>0.51715746016290431</v>
      </c>
      <c r="AE27" s="23">
        <f t="shared" si="23"/>
        <v>1.0049279923004268</v>
      </c>
      <c r="AF27" s="23">
        <f t="shared" si="24"/>
        <v>0.65174077919099638</v>
      </c>
      <c r="AG27" s="23">
        <f t="shared" si="25"/>
        <v>1.0049279923004268</v>
      </c>
      <c r="AH27" s="23">
        <f t="shared" si="26"/>
        <v>0.65174077919099638</v>
      </c>
      <c r="AI27" s="23">
        <f t="shared" si="27"/>
        <v>0.82833438574571172</v>
      </c>
      <c r="AJ27" s="23">
        <f t="shared" si="28"/>
        <v>0.82833438574571172</v>
      </c>
      <c r="AK27" s="295">
        <f t="shared" si="46"/>
        <v>3.986153860426629E-4</v>
      </c>
      <c r="AL27" s="70">
        <f t="shared" si="29"/>
        <v>5.8</v>
      </c>
      <c r="AM27" s="191">
        <f t="shared" si="35"/>
        <v>0.3</v>
      </c>
      <c r="AN27" s="192">
        <f t="shared" si="41"/>
        <v>8</v>
      </c>
      <c r="AO27" s="71">
        <f t="shared" si="36"/>
        <v>0</v>
      </c>
      <c r="AP27" s="352">
        <f t="shared" si="37"/>
        <v>0</v>
      </c>
      <c r="AQ27" s="353">
        <f t="shared" si="43"/>
        <v>0</v>
      </c>
      <c r="AR27" s="353">
        <f t="shared" si="38"/>
        <v>0</v>
      </c>
    </row>
    <row r="28" spans="1:44" s="62" customFormat="1" ht="15" customHeight="1" x14ac:dyDescent="0.25">
      <c r="A28" s="51">
        <f t="shared" si="39"/>
        <v>0.3000000000000001</v>
      </c>
      <c r="B28" s="52">
        <f t="shared" si="0"/>
        <v>1.0867785357718707</v>
      </c>
      <c r="C28" s="52">
        <f t="shared" si="1"/>
        <v>2.5867785357718707</v>
      </c>
      <c r="D28" s="180">
        <f t="shared" si="2"/>
        <v>-35.328279883381931</v>
      </c>
      <c r="E28" s="52">
        <f t="shared" si="3"/>
        <v>6.6990000000000018E-3</v>
      </c>
      <c r="F28" s="53">
        <f t="shared" si="4"/>
        <v>18252.447522003782</v>
      </c>
      <c r="G28" s="53">
        <f t="shared" si="5"/>
        <v>6666.6666666666642</v>
      </c>
      <c r="H28" s="54">
        <f t="shared" si="6"/>
        <v>93.265070891901942</v>
      </c>
      <c r="I28" s="54">
        <f t="shared" si="7"/>
        <v>101.43318574881128</v>
      </c>
      <c r="J28" s="425">
        <f t="shared" si="8"/>
        <v>3.0177804411920173</v>
      </c>
      <c r="K28" s="252">
        <f t="shared" si="9"/>
        <v>0.25260233485044381</v>
      </c>
      <c r="L28" s="268">
        <f t="shared" si="10"/>
        <v>0</v>
      </c>
      <c r="M28" s="269">
        <f t="shared" si="11"/>
        <v>0</v>
      </c>
      <c r="N28" s="270">
        <f t="shared" si="47"/>
        <v>0</v>
      </c>
      <c r="O28" s="52">
        <f t="shared" si="12"/>
        <v>-0.35363349261813798</v>
      </c>
      <c r="P28" s="52">
        <f t="shared" si="13"/>
        <v>2.4936775467001033E-2</v>
      </c>
      <c r="Q28" s="52">
        <f t="shared" si="14"/>
        <v>6.791787552929307E-2</v>
      </c>
      <c r="R28" s="268">
        <f t="shared" si="44"/>
        <v>0.17438015623484171</v>
      </c>
      <c r="S28" s="52">
        <f t="shared" si="45"/>
        <v>0.35954597161071283</v>
      </c>
      <c r="T28" s="282">
        <f t="shared" si="42"/>
        <v>5.0064029803387351</v>
      </c>
      <c r="U28" s="278">
        <f t="shared" si="40"/>
        <v>5.2590053151891789</v>
      </c>
      <c r="V28" s="181">
        <f t="shared" si="15"/>
        <v>3.9196244445668644</v>
      </c>
      <c r="W28" s="182">
        <f t="shared" si="16"/>
        <v>0.79359701966126472</v>
      </c>
      <c r="X28" s="456">
        <f t="shared" si="17"/>
        <v>-7.902446573002627</v>
      </c>
      <c r="Y28" s="59">
        <f t="shared" si="18"/>
        <v>0.81268135301440036</v>
      </c>
      <c r="Z28" s="60">
        <f t="shared" si="19"/>
        <v>0.74956975933390324</v>
      </c>
      <c r="AA28" s="300">
        <f t="shared" si="48"/>
        <v>0.49913951866780648</v>
      </c>
      <c r="AB28" s="56">
        <f t="shared" si="20"/>
        <v>0.47093581748993829</v>
      </c>
      <c r="AC28" s="55">
        <f t="shared" si="21"/>
        <v>0.47093581748993829</v>
      </c>
      <c r="AD28" s="55">
        <f t="shared" si="22"/>
        <v>0.49913951866780648</v>
      </c>
      <c r="AE28" s="61">
        <f t="shared" si="23"/>
        <v>0.98593787064571814</v>
      </c>
      <c r="AF28" s="61">
        <f t="shared" si="24"/>
        <v>0.63942483538308259</v>
      </c>
      <c r="AG28" s="61">
        <f t="shared" si="25"/>
        <v>0.98593787064571814</v>
      </c>
      <c r="AH28" s="61">
        <f t="shared" si="26"/>
        <v>0.63942483538308259</v>
      </c>
      <c r="AI28" s="61">
        <f t="shared" si="27"/>
        <v>0.81268135301440036</v>
      </c>
      <c r="AJ28" s="61">
        <f t="shared" si="28"/>
        <v>0.81268135301440036</v>
      </c>
      <c r="AK28" s="306">
        <f t="shared" si="46"/>
        <v>3.8823101852874934E-4</v>
      </c>
      <c r="AL28" s="57">
        <f t="shared" si="29"/>
        <v>5.8</v>
      </c>
      <c r="AM28" s="190">
        <f t="shared" si="35"/>
        <v>0.3</v>
      </c>
      <c r="AN28" s="193">
        <f t="shared" si="41"/>
        <v>8</v>
      </c>
      <c r="AO28" s="58">
        <f t="shared" si="36"/>
        <v>0.79359701966126472</v>
      </c>
      <c r="AP28" s="350">
        <f t="shared" si="37"/>
        <v>101.43318574881128</v>
      </c>
      <c r="AQ28" s="351">
        <f>IF($A28=$L$3,B_1*Tb_eff*(1+$G$9)/(SQRT(8)*SQRT($H28^2+$AG$8^2)),0)</f>
        <v>0.79980435243989456</v>
      </c>
      <c r="AR28" s="351">
        <f>IF($A28=$L$3,B_1*Tb_eff*(1-$G$9)/(SQRT(8)*SQRT($H28^2+$AG$8^2)),0)</f>
        <v>0.79980435243989456</v>
      </c>
    </row>
    <row r="29" spans="1:44" s="74" customFormat="1" ht="15" customHeight="1" x14ac:dyDescent="0.2">
      <c r="A29" s="63">
        <f t="shared" si="39"/>
        <v>0.31000000000000011</v>
      </c>
      <c r="B29" s="64">
        <f t="shared" si="0"/>
        <v>1.1230044869642666</v>
      </c>
      <c r="C29" s="64">
        <f t="shared" si="1"/>
        <v>2.6230044869642666</v>
      </c>
      <c r="D29" s="183">
        <f t="shared" si="2"/>
        <v>-36.505889212827995</v>
      </c>
      <c r="E29" s="64">
        <f t="shared" si="3"/>
        <v>6.9223000000000019E-3</v>
      </c>
      <c r="F29" s="65">
        <f t="shared" si="4"/>
        <v>17663.658892261723</v>
      </c>
      <c r="G29" s="65">
        <f t="shared" si="5"/>
        <v>6451.6129032258041</v>
      </c>
      <c r="H29" s="66">
        <f t="shared" si="6"/>
        <v>95.376134174593801</v>
      </c>
      <c r="I29" s="66">
        <f t="shared" si="7"/>
        <v>103.37758312502511</v>
      </c>
      <c r="J29" s="426">
        <f t="shared" si="8"/>
        <v>3.1776767601966744</v>
      </c>
      <c r="K29" s="253">
        <f t="shared" si="9"/>
        <v>0.25378656967141389</v>
      </c>
      <c r="L29" s="271">
        <f t="shared" si="10"/>
        <v>0</v>
      </c>
      <c r="M29" s="272">
        <f t="shared" si="11"/>
        <v>0</v>
      </c>
      <c r="N29" s="256">
        <f t="shared" si="47"/>
        <v>0</v>
      </c>
      <c r="O29" s="64">
        <f t="shared" si="12"/>
        <v>-0.36542127570540922</v>
      </c>
      <c r="P29" s="64">
        <f t="shared" si="13"/>
        <v>2.6516748585466814E-2</v>
      </c>
      <c r="Q29" s="64">
        <f t="shared" si="14"/>
        <v>7.6956062493541241E-2</v>
      </c>
      <c r="R29" s="271">
        <f t="shared" si="44"/>
        <v>0.18327579936066041</v>
      </c>
      <c r="S29" s="64">
        <f t="shared" si="45"/>
        <v>0.40120146603075174</v>
      </c>
      <c r="T29" s="344">
        <f t="shared" si="42"/>
        <v>5.2621145750458949</v>
      </c>
      <c r="U29" s="279">
        <f t="shared" si="40"/>
        <v>5.5159011447173087</v>
      </c>
      <c r="V29" s="168">
        <f t="shared" si="15"/>
        <v>4.1391100880816278</v>
      </c>
      <c r="W29" s="184">
        <f t="shared" si="16"/>
        <v>0.53788542495410496</v>
      </c>
      <c r="X29" s="457">
        <f t="shared" si="17"/>
        <v>-7.9774341014951089</v>
      </c>
      <c r="Y29" s="72">
        <f t="shared" si="18"/>
        <v>0.7973958777427641</v>
      </c>
      <c r="Z29" s="73">
        <f t="shared" si="19"/>
        <v>0.74054832011014249</v>
      </c>
      <c r="AA29" s="301">
        <f t="shared" si="48"/>
        <v>0.48109664022028498</v>
      </c>
      <c r="AB29" s="69">
        <f t="shared" si="20"/>
        <v>0.45378868944160899</v>
      </c>
      <c r="AC29" s="68">
        <f t="shared" si="21"/>
        <v>0.45378868944160899</v>
      </c>
      <c r="AD29" s="68">
        <f t="shared" si="22"/>
        <v>0.48109664022028498</v>
      </c>
      <c r="AE29" s="23">
        <f t="shared" si="23"/>
        <v>0.96739366646873637</v>
      </c>
      <c r="AF29" s="23">
        <f t="shared" si="24"/>
        <v>0.62739808901679184</v>
      </c>
      <c r="AG29" s="23">
        <f t="shared" si="25"/>
        <v>0.96739366646873637</v>
      </c>
      <c r="AH29" s="23">
        <f t="shared" si="26"/>
        <v>0.62739808901679184</v>
      </c>
      <c r="AI29" s="23">
        <f t="shared" si="27"/>
        <v>0.7973958777427641</v>
      </c>
      <c r="AJ29" s="23">
        <f t="shared" si="28"/>
        <v>0.7973958777427641</v>
      </c>
      <c r="AK29" s="295">
        <f t="shared" si="46"/>
        <v>3.7830464300761291E-4</v>
      </c>
      <c r="AL29" s="70">
        <f t="shared" si="29"/>
        <v>5.8</v>
      </c>
      <c r="AM29" s="191">
        <f t="shared" si="35"/>
        <v>0.3</v>
      </c>
      <c r="AN29" s="192">
        <f t="shared" si="41"/>
        <v>8</v>
      </c>
      <c r="AO29" s="71">
        <f t="shared" si="36"/>
        <v>0</v>
      </c>
      <c r="AP29" s="352">
        <f t="shared" si="37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39"/>
        <v>0.32000000000000012</v>
      </c>
      <c r="B30" s="64">
        <f t="shared" si="0"/>
        <v>1.1592304381566623</v>
      </c>
      <c r="C30" s="64">
        <f t="shared" si="1"/>
        <v>2.659230438156662</v>
      </c>
      <c r="D30" s="183">
        <f t="shared" si="2"/>
        <v>-37.683498542274059</v>
      </c>
      <c r="E30" s="64">
        <f t="shared" si="3"/>
        <v>7.145600000000002E-3</v>
      </c>
      <c r="F30" s="65">
        <f t="shared" si="4"/>
        <v>17111.669551878542</v>
      </c>
      <c r="G30" s="65">
        <f t="shared" si="5"/>
        <v>6249.9999999999973</v>
      </c>
      <c r="H30" s="66">
        <f t="shared" si="6"/>
        <v>97.508447472427363</v>
      </c>
      <c r="I30" s="66">
        <f t="shared" si="7"/>
        <v>105.34806619565678</v>
      </c>
      <c r="J30" s="426">
        <f t="shared" si="8"/>
        <v>3.3436080830156345</v>
      </c>
      <c r="K30" s="253">
        <f t="shared" si="9"/>
        <v>0.25515378225933594</v>
      </c>
      <c r="L30" s="271">
        <f t="shared" si="10"/>
        <v>0</v>
      </c>
      <c r="M30" s="272">
        <f t="shared" si="11"/>
        <v>0</v>
      </c>
      <c r="N30" s="256">
        <f t="shared" si="47"/>
        <v>0</v>
      </c>
      <c r="O30" s="64">
        <f t="shared" si="12"/>
        <v>-0.37720905879268052</v>
      </c>
      <c r="P30" s="64">
        <f t="shared" si="13"/>
        <v>2.8134527036394855E-2</v>
      </c>
      <c r="Q30" s="64">
        <f t="shared" si="14"/>
        <v>8.6828555961575238E-2</v>
      </c>
      <c r="R30" s="271">
        <f t="shared" si="44"/>
        <v>0.19330518625838383</v>
      </c>
      <c r="S30" s="64">
        <f t="shared" si="45"/>
        <v>0.44955679236257923</v>
      </c>
      <c r="T30" s="344">
        <f t="shared" si="42"/>
        <v>5.5325290557548348</v>
      </c>
      <c r="U30" s="279">
        <f t="shared" si="40"/>
        <v>5.7876828380141703</v>
      </c>
      <c r="V30" s="168">
        <f t="shared" si="15"/>
        <v>4.3732986175981727</v>
      </c>
      <c r="W30" s="184">
        <f t="shared" si="16"/>
        <v>0.26747094424516504</v>
      </c>
      <c r="X30" s="457">
        <f t="shared" si="17"/>
        <v>-8.0577395962191751</v>
      </c>
      <c r="Y30" s="72">
        <f t="shared" si="18"/>
        <v>0.78248098528744925</v>
      </c>
      <c r="Z30" s="73">
        <f t="shared" si="19"/>
        <v>0.73153102586133678</v>
      </c>
      <c r="AA30" s="301">
        <f t="shared" si="48"/>
        <v>0.46306205172267356</v>
      </c>
      <c r="AB30" s="69">
        <f t="shared" si="20"/>
        <v>0.43664029674079741</v>
      </c>
      <c r="AC30" s="68">
        <f t="shared" si="21"/>
        <v>0.43664029674079741</v>
      </c>
      <c r="AD30" s="68">
        <f t="shared" si="22"/>
        <v>0.46306205172267356</v>
      </c>
      <c r="AE30" s="23">
        <f t="shared" si="23"/>
        <v>0.94929905010555959</v>
      </c>
      <c r="AF30" s="23">
        <f t="shared" si="24"/>
        <v>0.6156629204693389</v>
      </c>
      <c r="AG30" s="23">
        <f t="shared" si="25"/>
        <v>0.94929905010555959</v>
      </c>
      <c r="AH30" s="23">
        <f t="shared" si="26"/>
        <v>0.6156629204693389</v>
      </c>
      <c r="AI30" s="23">
        <f t="shared" si="27"/>
        <v>0.78248098528744925</v>
      </c>
      <c r="AJ30" s="23">
        <f t="shared" si="28"/>
        <v>0.78248098528744925</v>
      </c>
      <c r="AK30" s="295">
        <f t="shared" si="46"/>
        <v>3.6881225578391775E-4</v>
      </c>
      <c r="AL30" s="70">
        <f t="shared" si="29"/>
        <v>5.8</v>
      </c>
      <c r="AM30" s="191">
        <f t="shared" si="35"/>
        <v>0.3</v>
      </c>
      <c r="AN30" s="192">
        <f t="shared" si="41"/>
        <v>8</v>
      </c>
      <c r="AO30" s="71">
        <f t="shared" si="36"/>
        <v>0</v>
      </c>
      <c r="AP30" s="352">
        <f t="shared" si="37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39"/>
        <v>0.33000000000000013</v>
      </c>
      <c r="B31" s="64">
        <f t="shared" si="0"/>
        <v>1.195456389349058</v>
      </c>
      <c r="C31" s="64">
        <f t="shared" si="1"/>
        <v>2.695456389349058</v>
      </c>
      <c r="D31" s="183">
        <f t="shared" si="2"/>
        <v>-38.861107871720122</v>
      </c>
      <c r="E31" s="64">
        <f t="shared" si="3"/>
        <v>7.3689000000000029E-3</v>
      </c>
      <c r="F31" s="65">
        <f t="shared" si="4"/>
        <v>16593.134110912528</v>
      </c>
      <c r="G31" s="65">
        <f t="shared" si="5"/>
        <v>6060.6060606060582</v>
      </c>
      <c r="H31" s="66">
        <f t="shared" si="6"/>
        <v>99.660646815332839</v>
      </c>
      <c r="I31" s="66">
        <f t="shared" si="7"/>
        <v>107.34319841672257</v>
      </c>
      <c r="J31" s="426">
        <f t="shared" si="8"/>
        <v>3.5157523157435335</v>
      </c>
      <c r="K31" s="253">
        <f t="shared" si="9"/>
        <v>0.25673688412599649</v>
      </c>
      <c r="L31" s="271">
        <f t="shared" si="10"/>
        <v>0</v>
      </c>
      <c r="M31" s="272">
        <f t="shared" si="11"/>
        <v>0</v>
      </c>
      <c r="N31" s="256">
        <f t="shared" si="47"/>
        <v>0</v>
      </c>
      <c r="O31" s="64">
        <f t="shared" si="12"/>
        <v>-0.38899684187995182</v>
      </c>
      <c r="P31" s="64">
        <f t="shared" si="13"/>
        <v>2.9788886187315296E-2</v>
      </c>
      <c r="Q31" s="64">
        <f t="shared" si="14"/>
        <v>9.7579676741298776E-2</v>
      </c>
      <c r="R31" s="271">
        <f t="shared" si="44"/>
        <v>0.20462533822550114</v>
      </c>
      <c r="S31" s="64">
        <f t="shared" si="45"/>
        <v>0.50608631028112416</v>
      </c>
      <c r="T31" s="344">
        <f t="shared" si="42"/>
        <v>5.8195000303405156</v>
      </c>
      <c r="U31" s="279">
        <f t="shared" si="40"/>
        <v>6.076236914466512</v>
      </c>
      <c r="V31" s="168">
        <f t="shared" si="15"/>
        <v>4.6240436409914576</v>
      </c>
      <c r="W31" s="184">
        <f t="shared" si="16"/>
        <v>-1.9500030340515728E-2</v>
      </c>
      <c r="X31" s="457">
        <f t="shared" si="17"/>
        <v>-8.144301579117684</v>
      </c>
      <c r="Y31" s="72">
        <f t="shared" si="18"/>
        <v>0.76793741802706572</v>
      </c>
      <c r="Z31" s="73">
        <f t="shared" si="19"/>
        <v>0.72253317934334327</v>
      </c>
      <c r="AA31" s="301">
        <f t="shared" si="48"/>
        <v>0.44506635868668654</v>
      </c>
      <c r="AB31" s="69">
        <f t="shared" si="20"/>
        <v>0.41951846409677218</v>
      </c>
      <c r="AC31" s="68">
        <f t="shared" si="21"/>
        <v>0.41951846409677218</v>
      </c>
      <c r="AD31" s="68">
        <f t="shared" si="22"/>
        <v>0.44506635868668654</v>
      </c>
      <c r="AE31" s="23">
        <f t="shared" si="23"/>
        <v>0.93165492220338875</v>
      </c>
      <c r="AF31" s="23">
        <f t="shared" si="24"/>
        <v>0.6042199138507427</v>
      </c>
      <c r="AG31" s="23">
        <f t="shared" si="25"/>
        <v>0.93165492220338875</v>
      </c>
      <c r="AH31" s="23">
        <f t="shared" si="26"/>
        <v>0.6042199138507427</v>
      </c>
      <c r="AI31" s="23">
        <f t="shared" si="27"/>
        <v>0.76793741802706572</v>
      </c>
      <c r="AJ31" s="23">
        <f t="shared" si="28"/>
        <v>0.76793741802706572</v>
      </c>
      <c r="AK31" s="295">
        <f t="shared" si="46"/>
        <v>3.5973083986179377E-4</v>
      </c>
      <c r="AL31" s="70">
        <f t="shared" si="29"/>
        <v>5.8</v>
      </c>
      <c r="AM31" s="191">
        <f t="shared" si="35"/>
        <v>0.3</v>
      </c>
      <c r="AN31" s="192">
        <f t="shared" si="41"/>
        <v>8</v>
      </c>
      <c r="AO31" s="71">
        <f t="shared" si="36"/>
        <v>0</v>
      </c>
      <c r="AP31" s="352">
        <f t="shared" si="37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39"/>
        <v>0.34000000000000014</v>
      </c>
      <c r="B32" s="64">
        <f t="shared" si="0"/>
        <v>1.2316823405414536</v>
      </c>
      <c r="C32" s="64">
        <f t="shared" si="1"/>
        <v>2.7316823405414539</v>
      </c>
      <c r="D32" s="183">
        <f t="shared" si="2"/>
        <v>-40.038717201166193</v>
      </c>
      <c r="E32" s="64">
        <f t="shared" si="3"/>
        <v>7.5922000000000029E-3</v>
      </c>
      <c r="F32" s="65">
        <f t="shared" si="4"/>
        <v>16105.100754709214</v>
      </c>
      <c r="G32" s="65">
        <f t="shared" si="5"/>
        <v>5882.3529411764684</v>
      </c>
      <c r="H32" s="66">
        <f t="shared" si="6"/>
        <v>101.83147134158612</v>
      </c>
      <c r="I32" s="66">
        <f t="shared" si="7"/>
        <v>109.36163074073848</v>
      </c>
      <c r="J32" s="426">
        <f t="shared" si="8"/>
        <v>3.6943222398854547</v>
      </c>
      <c r="K32" s="253">
        <f t="shared" si="9"/>
        <v>0.25857131304037262</v>
      </c>
      <c r="L32" s="271">
        <f t="shared" si="10"/>
        <v>0</v>
      </c>
      <c r="M32" s="272">
        <f t="shared" si="11"/>
        <v>0</v>
      </c>
      <c r="N32" s="256">
        <f t="shared" si="47"/>
        <v>0</v>
      </c>
      <c r="O32" s="64">
        <f t="shared" si="12"/>
        <v>-0.40078462496722311</v>
      </c>
      <c r="P32" s="64">
        <f t="shared" si="13"/>
        <v>3.1478581889668851E-2</v>
      </c>
      <c r="Q32" s="64">
        <f t="shared" si="14"/>
        <v>0.10925451159806822</v>
      </c>
      <c r="R32" s="271">
        <f t="shared" si="44"/>
        <v>0.21742507632411842</v>
      </c>
      <c r="S32" s="64">
        <f t="shared" si="45"/>
        <v>0.57272191097005587</v>
      </c>
      <c r="T32" s="344">
        <f t="shared" si="42"/>
        <v>6.1254060793191494</v>
      </c>
      <c r="U32" s="279">
        <f t="shared" si="40"/>
        <v>6.3839773923595233</v>
      </c>
      <c r="V32" s="168">
        <f t="shared" si="15"/>
        <v>4.8937237387776955</v>
      </c>
      <c r="W32" s="184">
        <f t="shared" si="16"/>
        <v>-0.32540607931914955</v>
      </c>
      <c r="X32" s="457">
        <f t="shared" si="17"/>
        <v>-8.2383199036099342</v>
      </c>
      <c r="Y32" s="72">
        <f t="shared" si="18"/>
        <v>0.75376398538100575</v>
      </c>
      <c r="Z32" s="73">
        <f t="shared" si="19"/>
        <v>0.71356878667183454</v>
      </c>
      <c r="AA32" s="301">
        <f t="shared" si="48"/>
        <v>0.42713757334366909</v>
      </c>
      <c r="AB32" s="69">
        <f t="shared" si="20"/>
        <v>0.40244880735184352</v>
      </c>
      <c r="AC32" s="68">
        <f t="shared" si="21"/>
        <v>0.40244880735184352</v>
      </c>
      <c r="AD32" s="68">
        <f t="shared" si="22"/>
        <v>0.42713757334366909</v>
      </c>
      <c r="AE32" s="23">
        <f t="shared" si="23"/>
        <v>0.91445983836030076</v>
      </c>
      <c r="AF32" s="23">
        <f t="shared" si="24"/>
        <v>0.59306813240171086</v>
      </c>
      <c r="AG32" s="23">
        <f t="shared" si="25"/>
        <v>0.91445983836030076</v>
      </c>
      <c r="AH32" s="23">
        <f t="shared" si="26"/>
        <v>0.59306813240171086</v>
      </c>
      <c r="AI32" s="23">
        <f t="shared" si="27"/>
        <v>0.75376398538100575</v>
      </c>
      <c r="AJ32" s="23">
        <f t="shared" si="28"/>
        <v>0.75376398538100575</v>
      </c>
      <c r="AK32" s="295">
        <f t="shared" si="46"/>
        <v>3.5103842886266486E-4</v>
      </c>
      <c r="AL32" s="70">
        <f t="shared" si="29"/>
        <v>5.8</v>
      </c>
      <c r="AM32" s="191">
        <f t="shared" si="35"/>
        <v>0.3</v>
      </c>
      <c r="AN32" s="192">
        <f t="shared" si="41"/>
        <v>8</v>
      </c>
      <c r="AO32" s="71">
        <f t="shared" si="36"/>
        <v>0</v>
      </c>
      <c r="AP32" s="352">
        <f t="shared" si="37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39"/>
        <v>0.35000000000000014</v>
      </c>
      <c r="B33" s="52">
        <f t="shared" si="0"/>
        <v>1.2679082917338493</v>
      </c>
      <c r="C33" s="52">
        <f t="shared" si="1"/>
        <v>2.7679082917338493</v>
      </c>
      <c r="D33" s="180">
        <f t="shared" si="2"/>
        <v>-41.216326530612257</v>
      </c>
      <c r="E33" s="52">
        <f t="shared" si="3"/>
        <v>7.815500000000003E-3</v>
      </c>
      <c r="F33" s="53">
        <f t="shared" si="4"/>
        <v>15644.955018860381</v>
      </c>
      <c r="G33" s="53">
        <f t="shared" si="5"/>
        <v>5714.2857142857119</v>
      </c>
      <c r="H33" s="54">
        <f t="shared" si="6"/>
        <v>104.01975497139198</v>
      </c>
      <c r="I33" s="54">
        <f t="shared" si="7"/>
        <v>111.40209669027682</v>
      </c>
      <c r="J33" s="425">
        <f t="shared" si="8"/>
        <v>3.879570110216755</v>
      </c>
      <c r="K33" s="252">
        <f t="shared" si="9"/>
        <v>0.26069562443511973</v>
      </c>
      <c r="L33" s="268">
        <f t="shared" si="10"/>
        <v>0</v>
      </c>
      <c r="M33" s="269">
        <f t="shared" si="11"/>
        <v>0</v>
      </c>
      <c r="N33" s="270">
        <f t="shared" si="47"/>
        <v>0</v>
      </c>
      <c r="O33" s="52">
        <f t="shared" si="12"/>
        <v>-0.41257240805449436</v>
      </c>
      <c r="P33" s="52">
        <f t="shared" si="13"/>
        <v>3.3202352030764458E-2</v>
      </c>
      <c r="Q33" s="52">
        <f t="shared" si="14"/>
        <v>0.12189895703313483</v>
      </c>
      <c r="R33" s="268">
        <f t="shared" si="44"/>
        <v>0.23193288497697859</v>
      </c>
      <c r="S33" s="52">
        <f t="shared" si="45"/>
        <v>0.65204667905660152</v>
      </c>
      <c r="T33" s="282">
        <f t="shared" si="42"/>
        <v>6.4533569230173189</v>
      </c>
      <c r="U33" s="278">
        <f t="shared" si="40"/>
        <v>6.7140525474524395</v>
      </c>
      <c r="V33" s="181">
        <f t="shared" si="15"/>
        <v>5.1854486312834691</v>
      </c>
      <c r="W33" s="182">
        <f t="shared" si="16"/>
        <v>-0.65335692301731907</v>
      </c>
      <c r="X33" s="456">
        <f t="shared" si="17"/>
        <v>-8.3413604929335285</v>
      </c>
      <c r="Y33" s="59">
        <f t="shared" si="18"/>
        <v>0.73995787407921998</v>
      </c>
      <c r="Z33" s="60">
        <f t="shared" si="19"/>
        <v>0.70465058636048838</v>
      </c>
      <c r="AA33" s="300">
        <f t="shared" si="48"/>
        <v>0.40930117272097677</v>
      </c>
      <c r="AB33" s="56">
        <f t="shared" si="20"/>
        <v>0.38545477186681887</v>
      </c>
      <c r="AC33" s="55">
        <f t="shared" si="21"/>
        <v>0.38545477186681887</v>
      </c>
      <c r="AD33" s="55">
        <f t="shared" si="22"/>
        <v>0.40930117272097677</v>
      </c>
      <c r="AE33" s="61">
        <f t="shared" si="23"/>
        <v>0.89771038554181182</v>
      </c>
      <c r="AF33" s="61">
        <f t="shared" si="24"/>
        <v>0.58220536261662825</v>
      </c>
      <c r="AG33" s="61">
        <f t="shared" si="25"/>
        <v>0.89771038554181182</v>
      </c>
      <c r="AH33" s="61">
        <f t="shared" si="26"/>
        <v>0.58220536261662825</v>
      </c>
      <c r="AI33" s="61">
        <f t="shared" si="27"/>
        <v>0.73995787407921998</v>
      </c>
      <c r="AJ33" s="61">
        <f t="shared" si="28"/>
        <v>0.73995787407921998</v>
      </c>
      <c r="AK33" s="306">
        <f t="shared" si="46"/>
        <v>3.4271413741993593E-4</v>
      </c>
      <c r="AL33" s="57">
        <f t="shared" si="29"/>
        <v>5.8</v>
      </c>
      <c r="AM33" s="190">
        <f t="shared" si="35"/>
        <v>0.3</v>
      </c>
      <c r="AN33" s="193">
        <f t="shared" si="41"/>
        <v>8</v>
      </c>
      <c r="AO33" s="58">
        <f t="shared" si="36"/>
        <v>0</v>
      </c>
      <c r="AP33" s="350">
        <f t="shared" si="37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39"/>
        <v>0.36000000000000015</v>
      </c>
      <c r="B34" s="64">
        <f t="shared" si="0"/>
        <v>1.304134242926245</v>
      </c>
      <c r="C34" s="64">
        <f t="shared" si="1"/>
        <v>2.8041342429262448</v>
      </c>
      <c r="D34" s="183">
        <f t="shared" si="2"/>
        <v>-42.39393586005832</v>
      </c>
      <c r="E34" s="64">
        <f t="shared" si="3"/>
        <v>8.0388000000000039E-3</v>
      </c>
      <c r="F34" s="65">
        <f t="shared" si="4"/>
        <v>15210.372935003148</v>
      </c>
      <c r="G34" s="65">
        <f t="shared" si="5"/>
        <v>5555.5555555555529</v>
      </c>
      <c r="H34" s="66">
        <f t="shared" si="6"/>
        <v>106.22441870774796</v>
      </c>
      <c r="I34" s="66">
        <f t="shared" si="7"/>
        <v>113.46340754833831</v>
      </c>
      <c r="J34" s="426">
        <f t="shared" si="8"/>
        <v>4.0717929758270284</v>
      </c>
      <c r="K34" s="253">
        <f t="shared" si="9"/>
        <v>0.26315224099345791</v>
      </c>
      <c r="L34" s="271">
        <f t="shared" si="10"/>
        <v>0</v>
      </c>
      <c r="M34" s="272">
        <f t="shared" si="11"/>
        <v>0</v>
      </c>
      <c r="N34" s="256">
        <f t="shared" si="47"/>
        <v>0</v>
      </c>
      <c r="O34" s="64">
        <f t="shared" si="12"/>
        <v>-0.4243601911417656</v>
      </c>
      <c r="P34" s="64">
        <f t="shared" si="13"/>
        <v>3.4958918096411863E-2</v>
      </c>
      <c r="Q34" s="64">
        <f t="shared" si="14"/>
        <v>0.13555977605697922</v>
      </c>
      <c r="R34" s="271">
        <f t="shared" si="44"/>
        <v>0.24842720190620851</v>
      </c>
      <c r="S34" s="64">
        <f t="shared" si="45"/>
        <v>0.74759853393403364</v>
      </c>
      <c r="T34" s="344">
        <f t="shared" si="42"/>
        <v>6.8075127306504948</v>
      </c>
      <c r="U34" s="279">
        <f t="shared" si="40"/>
        <v>7.0706649716439527</v>
      </c>
      <c r="V34" s="168">
        <f t="shared" si="15"/>
        <v>5.50337848772425</v>
      </c>
      <c r="W34" s="184">
        <f t="shared" si="16"/>
        <v>-1.007512730650495</v>
      </c>
      <c r="X34" s="457">
        <f t="shared" si="17"/>
        <v>-8.4555175075177136</v>
      </c>
      <c r="Y34" s="72">
        <f t="shared" si="18"/>
        <v>0.7265149215599439</v>
      </c>
      <c r="Z34" s="73">
        <f t="shared" si="19"/>
        <v>0.69579009033033978</v>
      </c>
      <c r="AA34" s="301">
        <f t="shared" si="48"/>
        <v>0.39158018066067957</v>
      </c>
      <c r="AB34" s="69">
        <f t="shared" si="20"/>
        <v>0.36855769091794954</v>
      </c>
      <c r="AC34" s="68">
        <f t="shared" si="21"/>
        <v>0.36855769091794954</v>
      </c>
      <c r="AD34" s="68">
        <f t="shared" si="22"/>
        <v>0.39158018066067957</v>
      </c>
      <c r="AE34" s="23">
        <f t="shared" si="23"/>
        <v>0.88140151376459541</v>
      </c>
      <c r="AF34" s="23">
        <f t="shared" si="24"/>
        <v>0.5716283293552924</v>
      </c>
      <c r="AG34" s="23">
        <f t="shared" si="25"/>
        <v>0.88140151376459541</v>
      </c>
      <c r="AH34" s="23">
        <f t="shared" si="26"/>
        <v>0.5716283293552924</v>
      </c>
      <c r="AI34" s="23">
        <f t="shared" si="27"/>
        <v>0.7265149215599439</v>
      </c>
      <c r="AJ34" s="23">
        <f t="shared" si="28"/>
        <v>0.7265149215599439</v>
      </c>
      <c r="AK34" s="295">
        <f t="shared" si="46"/>
        <v>3.3473816661869064E-4</v>
      </c>
      <c r="AL34" s="70">
        <f t="shared" si="29"/>
        <v>5.8</v>
      </c>
      <c r="AM34" s="191">
        <f t="shared" si="35"/>
        <v>0.3</v>
      </c>
      <c r="AN34" s="192">
        <f t="shared" si="41"/>
        <v>8</v>
      </c>
      <c r="AO34" s="71">
        <f t="shared" si="36"/>
        <v>0</v>
      </c>
      <c r="AP34" s="352">
        <f t="shared" si="37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39"/>
        <v>0.37000000000000016</v>
      </c>
      <c r="B35" s="64">
        <f t="shared" si="0"/>
        <v>1.3403601941186407</v>
      </c>
      <c r="C35" s="64">
        <f t="shared" si="1"/>
        <v>2.8403601941186407</v>
      </c>
      <c r="D35" s="183">
        <f t="shared" si="2"/>
        <v>-43.571545189504384</v>
      </c>
      <c r="E35" s="64">
        <f t="shared" si="3"/>
        <v>8.2621000000000031E-3</v>
      </c>
      <c r="F35" s="65">
        <f t="shared" si="4"/>
        <v>14799.281774597655</v>
      </c>
      <c r="G35" s="65">
        <f t="shared" si="5"/>
        <v>5405.4054054054031</v>
      </c>
      <c r="H35" s="66">
        <f t="shared" si="6"/>
        <v>108.44446353808878</v>
      </c>
      <c r="I35" s="66">
        <f t="shared" si="7"/>
        <v>115.54444770193514</v>
      </c>
      <c r="J35" s="426">
        <f t="shared" si="8"/>
        <v>4.2713389234311503</v>
      </c>
      <c r="K35" s="253">
        <f t="shared" si="9"/>
        <v>0.26598839537667995</v>
      </c>
      <c r="L35" s="271">
        <f t="shared" si="10"/>
        <v>0</v>
      </c>
      <c r="M35" s="272">
        <f t="shared" si="11"/>
        <v>0</v>
      </c>
      <c r="N35" s="256">
        <f t="shared" si="47"/>
        <v>0</v>
      </c>
      <c r="O35" s="64">
        <f t="shared" si="12"/>
        <v>-0.43614797422903689</v>
      </c>
      <c r="P35" s="64">
        <f t="shared" si="13"/>
        <v>3.674698674153748E-2</v>
      </c>
      <c r="Q35" s="64">
        <f t="shared" si="14"/>
        <v>0.15028466873530871</v>
      </c>
      <c r="R35" s="271">
        <f t="shared" si="44"/>
        <v>0.26725004838473493</v>
      </c>
      <c r="S35" s="64">
        <f t="shared" si="45"/>
        <v>0.86436674616977727</v>
      </c>
      <c r="T35" s="344">
        <f t="shared" si="42"/>
        <v>7.193600580839612</v>
      </c>
      <c r="U35" s="279">
        <f t="shared" si="40"/>
        <v>7.4595889762162919</v>
      </c>
      <c r="V35" s="168">
        <f t="shared" si="15"/>
        <v>5.8532403867209712</v>
      </c>
      <c r="W35" s="184">
        <f t="shared" si="16"/>
        <v>-1.3936005808396121</v>
      </c>
      <c r="X35" s="457">
        <f t="shared" si="17"/>
        <v>-8.5836753039848368</v>
      </c>
      <c r="Y35" s="72">
        <f t="shared" si="18"/>
        <v>0.71342985556132754</v>
      </c>
      <c r="Z35" s="73">
        <f t="shared" si="19"/>
        <v>0.6869976341556352</v>
      </c>
      <c r="AA35" s="301">
        <f t="shared" si="48"/>
        <v>0.37399526831127039</v>
      </c>
      <c r="AB35" s="69">
        <f t="shared" si="20"/>
        <v>0.35177686007702391</v>
      </c>
      <c r="AC35" s="68">
        <f t="shared" si="21"/>
        <v>0.35177686007702391</v>
      </c>
      <c r="AD35" s="68">
        <f t="shared" si="22"/>
        <v>0.37399526831127039</v>
      </c>
      <c r="AE35" s="23">
        <f t="shared" si="23"/>
        <v>0.86552682676694026</v>
      </c>
      <c r="AF35" s="23">
        <f t="shared" si="24"/>
        <v>0.56133288435571482</v>
      </c>
      <c r="AG35" s="23">
        <f t="shared" si="25"/>
        <v>0.86552682676694026</v>
      </c>
      <c r="AH35" s="23">
        <f t="shared" si="26"/>
        <v>0.56133288435571482</v>
      </c>
      <c r="AI35" s="23">
        <f t="shared" si="27"/>
        <v>0.71342985556132754</v>
      </c>
      <c r="AJ35" s="23">
        <f t="shared" si="28"/>
        <v>0.71342985556132754</v>
      </c>
      <c r="AK35" s="295">
        <f t="shared" si="46"/>
        <v>3.2709179115962534E-4</v>
      </c>
      <c r="AL35" s="70">
        <f t="shared" si="29"/>
        <v>5.8</v>
      </c>
      <c r="AM35" s="191">
        <f t="shared" si="35"/>
        <v>0.3</v>
      </c>
      <c r="AN35" s="192">
        <f t="shared" si="41"/>
        <v>8</v>
      </c>
      <c r="AO35" s="71">
        <f t="shared" si="36"/>
        <v>0</v>
      </c>
      <c r="AP35" s="352">
        <f t="shared" si="37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39"/>
        <v>0.38000000000000017</v>
      </c>
      <c r="B36" s="64">
        <f t="shared" si="0"/>
        <v>1.3765861453110364</v>
      </c>
      <c r="C36" s="64">
        <f t="shared" si="1"/>
        <v>2.8765861453110366</v>
      </c>
      <c r="D36" s="183">
        <f t="shared" si="2"/>
        <v>-44.749154518950448</v>
      </c>
      <c r="E36" s="64">
        <f t="shared" si="3"/>
        <v>8.4854000000000041E-3</v>
      </c>
      <c r="F36" s="65">
        <f t="shared" si="4"/>
        <v>14409.826991055614</v>
      </c>
      <c r="G36" s="65">
        <f t="shared" si="5"/>
        <v>5263.1578947368398</v>
      </c>
      <c r="H36" s="66">
        <f t="shared" si="6"/>
        <v>110.67896390508524</v>
      </c>
      <c r="I36" s="66">
        <f t="shared" si="7"/>
        <v>117.64417016488544</v>
      </c>
      <c r="J36" s="426">
        <f t="shared" si="8"/>
        <v>4.4786144939134882</v>
      </c>
      <c r="K36" s="253">
        <f t="shared" si="9"/>
        <v>0.2692573145984225</v>
      </c>
      <c r="L36" s="271">
        <f t="shared" si="10"/>
        <v>0</v>
      </c>
      <c r="M36" s="272">
        <f t="shared" si="11"/>
        <v>0</v>
      </c>
      <c r="N36" s="256">
        <f t="shared" si="47"/>
        <v>0</v>
      </c>
      <c r="O36" s="64">
        <f t="shared" si="12"/>
        <v>-0.44793575731630814</v>
      </c>
      <c r="P36" s="64">
        <f t="shared" si="13"/>
        <v>3.856525136610222E-2</v>
      </c>
      <c r="Q36" s="64">
        <f t="shared" si="14"/>
        <v>0.16612235738819064</v>
      </c>
      <c r="R36" s="271">
        <f t="shared" si="44"/>
        <v>0.28882532687485757</v>
      </c>
      <c r="S36" s="64">
        <f t="shared" si="45"/>
        <v>1.0096468376961003</v>
      </c>
      <c r="T36" s="344">
        <f t="shared" si="42"/>
        <v>7.6197951611836734</v>
      </c>
      <c r="U36" s="279">
        <f t="shared" si="40"/>
        <v>7.8890524757820959</v>
      </c>
      <c r="V36" s="168">
        <f t="shared" si="15"/>
        <v>6.2432090158726368</v>
      </c>
      <c r="W36" s="184">
        <f t="shared" si="16"/>
        <v>-1.8197951611836736</v>
      </c>
      <c r="X36" s="457">
        <f t="shared" si="17"/>
        <v>-8.7299542680834001</v>
      </c>
      <c r="Y36" s="72">
        <f t="shared" si="18"/>
        <v>0.70069650301727904</v>
      </c>
      <c r="Z36" s="73">
        <f t="shared" si="19"/>
        <v>0.67828243411777889</v>
      </c>
      <c r="AA36" s="301">
        <f t="shared" si="48"/>
        <v>0.35656486823555777</v>
      </c>
      <c r="AB36" s="69">
        <f t="shared" si="20"/>
        <v>0.33512962390346734</v>
      </c>
      <c r="AC36" s="68">
        <f t="shared" si="21"/>
        <v>0.33512962390346734</v>
      </c>
      <c r="AD36" s="68">
        <f t="shared" si="22"/>
        <v>0.35656486823555777</v>
      </c>
      <c r="AE36" s="23">
        <f t="shared" si="23"/>
        <v>0.85007883543935048</v>
      </c>
      <c r="AF36" s="23">
        <f t="shared" si="24"/>
        <v>0.55131417059520771</v>
      </c>
      <c r="AG36" s="23">
        <f t="shared" si="25"/>
        <v>0.85007883543935048</v>
      </c>
      <c r="AH36" s="23">
        <f t="shared" si="26"/>
        <v>0.55131417059520771</v>
      </c>
      <c r="AI36" s="23">
        <f t="shared" si="27"/>
        <v>0.70069650301727904</v>
      </c>
      <c r="AJ36" s="23">
        <f t="shared" si="28"/>
        <v>0.70069650301727904</v>
      </c>
      <c r="AK36" s="295">
        <f t="shared" si="46"/>
        <v>3.1975733342509444E-4</v>
      </c>
      <c r="AL36" s="70">
        <f t="shared" si="29"/>
        <v>5.8</v>
      </c>
      <c r="AM36" s="191">
        <f t="shared" si="35"/>
        <v>0.3</v>
      </c>
      <c r="AN36" s="192">
        <f t="shared" si="41"/>
        <v>8</v>
      </c>
      <c r="AO36" s="71">
        <f t="shared" si="36"/>
        <v>0</v>
      </c>
      <c r="AP36" s="352">
        <f t="shared" si="37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39"/>
        <v>0.39000000000000018</v>
      </c>
      <c r="B37" s="64">
        <f t="shared" si="0"/>
        <v>1.4128120965034321</v>
      </c>
      <c r="C37" s="64">
        <f t="shared" si="1"/>
        <v>2.9128120965034321</v>
      </c>
      <c r="D37" s="183">
        <f t="shared" si="2"/>
        <v>-45.926763848396519</v>
      </c>
      <c r="E37" s="64">
        <f t="shared" si="3"/>
        <v>8.7087000000000032E-3</v>
      </c>
      <c r="F37" s="65">
        <f t="shared" si="4"/>
        <v>14040.344247695211</v>
      </c>
      <c r="G37" s="65">
        <f t="shared" si="5"/>
        <v>5128.2051282051261</v>
      </c>
      <c r="H37" s="66">
        <f t="shared" si="6"/>
        <v>112.92706171204858</v>
      </c>
      <c r="I37" s="66">
        <f t="shared" si="7"/>
        <v>119.76159229735629</v>
      </c>
      <c r="J37" s="426">
        <f t="shared" si="8"/>
        <v>4.6940935923403631</v>
      </c>
      <c r="K37" s="253">
        <f t="shared" si="9"/>
        <v>0.27301971316329343</v>
      </c>
      <c r="L37" s="271">
        <f t="shared" si="10"/>
        <v>0</v>
      </c>
      <c r="M37" s="272">
        <f t="shared" si="11"/>
        <v>0</v>
      </c>
      <c r="N37" s="256">
        <f t="shared" si="47"/>
        <v>0</v>
      </c>
      <c r="O37" s="64">
        <f t="shared" si="12"/>
        <v>-0.45972354040357949</v>
      </c>
      <c r="P37" s="64">
        <f t="shared" si="13"/>
        <v>4.0412393693654798E-2</v>
      </c>
      <c r="Q37" s="64">
        <f t="shared" si="14"/>
        <v>0.18312268744965082</v>
      </c>
      <c r="R37" s="271">
        <f t="shared" si="44"/>
        <v>0.31368374963381895</v>
      </c>
      <c r="S37" s="64">
        <f t="shared" si="45"/>
        <v>1.1946113434350398</v>
      </c>
      <c r="T37" s="344">
        <f t="shared" si="42"/>
        <v>8.0983234693623061</v>
      </c>
      <c r="U37" s="279">
        <f t="shared" si="40"/>
        <v>8.3713431825255995</v>
      </c>
      <c r="V37" s="168">
        <f t="shared" si="15"/>
        <v>6.6855113728588744</v>
      </c>
      <c r="W37" s="184">
        <f t="shared" si="16"/>
        <v>-2.2983234693623062</v>
      </c>
      <c r="X37" s="457">
        <f t="shared" si="17"/>
        <v>-8.9005212249656864</v>
      </c>
      <c r="Y37" s="72">
        <f t="shared" si="18"/>
        <v>0.68830797130880028</v>
      </c>
      <c r="Z37" s="73">
        <f t="shared" si="19"/>
        <v>0.66965264895406429</v>
      </c>
      <c r="AA37" s="301">
        <f t="shared" si="48"/>
        <v>0.33930529790812858</v>
      </c>
      <c r="AB37" s="69">
        <f t="shared" si="20"/>
        <v>0.3186314716706351</v>
      </c>
      <c r="AC37" s="68">
        <f t="shared" si="21"/>
        <v>0.3186314716706351</v>
      </c>
      <c r="AD37" s="68">
        <f t="shared" si="22"/>
        <v>0.33930529790812858</v>
      </c>
      <c r="AE37" s="23">
        <f t="shared" si="23"/>
        <v>0.8350491777170721</v>
      </c>
      <c r="AF37" s="23">
        <f t="shared" si="24"/>
        <v>0.54156676490052846</v>
      </c>
      <c r="AG37" s="23">
        <f t="shared" si="25"/>
        <v>0.8350491777170721</v>
      </c>
      <c r="AH37" s="23">
        <f t="shared" si="26"/>
        <v>0.54156676490052846</v>
      </c>
      <c r="AI37" s="23">
        <f t="shared" si="27"/>
        <v>0.68830797130880028</v>
      </c>
      <c r="AJ37" s="23">
        <f t="shared" si="28"/>
        <v>0.68830797130880028</v>
      </c>
      <c r="AK37" s="295">
        <f t="shared" si="46"/>
        <v>3.1271812843777736E-4</v>
      </c>
      <c r="AL37" s="70">
        <f t="shared" si="29"/>
        <v>5.8</v>
      </c>
      <c r="AM37" s="191">
        <f t="shared" si="35"/>
        <v>0.3</v>
      </c>
      <c r="AN37" s="192">
        <f t="shared" si="41"/>
        <v>8</v>
      </c>
      <c r="AO37" s="71">
        <f t="shared" si="36"/>
        <v>0</v>
      </c>
      <c r="AP37" s="352">
        <f t="shared" si="37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39"/>
        <v>0.40000000000000019</v>
      </c>
      <c r="B38" s="76">
        <f t="shared" si="0"/>
        <v>1.4490380476958278</v>
      </c>
      <c r="C38" s="76">
        <f t="shared" si="1"/>
        <v>2.9490380476958276</v>
      </c>
      <c r="D38" s="185">
        <f t="shared" si="2"/>
        <v>-47.104373177842582</v>
      </c>
      <c r="E38" s="76">
        <f t="shared" si="3"/>
        <v>8.9320000000000042E-3</v>
      </c>
      <c r="F38" s="77">
        <f t="shared" si="4"/>
        <v>13689.335641502832</v>
      </c>
      <c r="G38" s="77">
        <f t="shared" si="5"/>
        <v>4999.9999999999973</v>
      </c>
      <c r="H38" s="78">
        <f t="shared" si="6"/>
        <v>115.18796082709724</v>
      </c>
      <c r="I38" s="78">
        <f t="shared" si="7"/>
        <v>121.89579173288243</v>
      </c>
      <c r="J38" s="427">
        <f t="shared" si="8"/>
        <v>4.9183283053183127</v>
      </c>
      <c r="K38" s="254">
        <f t="shared" si="9"/>
        <v>0.27734568804329296</v>
      </c>
      <c r="L38" s="257">
        <f t="shared" si="10"/>
        <v>0</v>
      </c>
      <c r="M38" s="273">
        <f t="shared" si="11"/>
        <v>0</v>
      </c>
      <c r="N38" s="270">
        <f t="shared" si="47"/>
        <v>0</v>
      </c>
      <c r="O38" s="76">
        <f t="shared" si="12"/>
        <v>-0.47151132349085073</v>
      </c>
      <c r="P38" s="76">
        <f t="shared" si="13"/>
        <v>4.228708534987595E-2</v>
      </c>
      <c r="Q38" s="76">
        <f t="shared" si="14"/>
        <v>0.20133674514953462</v>
      </c>
      <c r="R38" s="257">
        <f>10*LOG10(1/SQRT(1-AK38*(Q/AA38)^2))</f>
        <v>0.34249736509438328</v>
      </c>
      <c r="S38" s="76">
        <f>-10*LOG10(AA38*SQRT(1-Q*Q*((SD_blw^2+AK38)/AA38^2+Vmn+(P38*P38))))-$T$13-J38-L38-Q38-N38-R38-Pmn</f>
        <v>1.437450453455122</v>
      </c>
      <c r="T38" s="283">
        <f t="shared" si="42"/>
        <v>8.64865091671318</v>
      </c>
      <c r="U38" s="280">
        <f t="shared" si="40"/>
        <v>8.9259966047564738</v>
      </c>
      <c r="V38" s="186">
        <f t="shared" si="15"/>
        <v>7.1996128690173524</v>
      </c>
      <c r="W38" s="187">
        <f t="shared" si="16"/>
        <v>-2.8486509167131802</v>
      </c>
      <c r="X38" s="458">
        <f t="shared" si="17"/>
        <v>-9.1051944043285715</v>
      </c>
      <c r="Y38" s="80">
        <f t="shared" si="18"/>
        <v>0.67625680479228534</v>
      </c>
      <c r="Z38" s="83">
        <f t="shared" si="19"/>
        <v>0.661115444496986</v>
      </c>
      <c r="AA38" s="300">
        <f t="shared" si="48"/>
        <v>0.32223088899397201</v>
      </c>
      <c r="AB38" s="79">
        <f t="shared" si="20"/>
        <v>0.30229613925449561</v>
      </c>
      <c r="AC38" s="80">
        <f t="shared" si="21"/>
        <v>0.30229613925449561</v>
      </c>
      <c r="AD38" s="80">
        <f t="shared" si="22"/>
        <v>0.32223088899397201</v>
      </c>
      <c r="AE38" s="84">
        <f t="shared" si="23"/>
        <v>0.82042880847884847</v>
      </c>
      <c r="AF38" s="84">
        <f t="shared" si="24"/>
        <v>0.53208480110572232</v>
      </c>
      <c r="AG38" s="84">
        <f t="shared" si="25"/>
        <v>0.82042880847884847</v>
      </c>
      <c r="AH38" s="84">
        <f t="shared" si="26"/>
        <v>0.53208480110572232</v>
      </c>
      <c r="AI38" s="84">
        <f t="shared" si="27"/>
        <v>0.67625680479228534</v>
      </c>
      <c r="AJ38" s="84">
        <f t="shared" si="28"/>
        <v>0.67625680479228534</v>
      </c>
      <c r="AK38" s="387">
        <f t="shared" si="46"/>
        <v>3.0595848276745779E-4</v>
      </c>
      <c r="AL38" s="81">
        <f t="shared" si="29"/>
        <v>5.8</v>
      </c>
      <c r="AM38" s="194">
        <f t="shared" si="35"/>
        <v>0.3</v>
      </c>
      <c r="AN38" s="195">
        <f>ROUNDUP(L6,0)</f>
        <v>8</v>
      </c>
      <c r="AO38" s="82">
        <f t="shared" si="36"/>
        <v>0</v>
      </c>
      <c r="AP38" s="354">
        <f t="shared" si="37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0.79359701966126472</v>
      </c>
      <c r="AP39" s="355">
        <f>SUM(AP18:AP38)</f>
        <v>101.43318574881128</v>
      </c>
      <c r="AQ39" s="356">
        <f>SUM(AQ18:AQ38)</f>
        <v>0.79980435243989456</v>
      </c>
      <c r="AR39" s="356">
        <f>SUM(AR18:AR38)</f>
        <v>0.79980435243989456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11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71" si="50">0.5+(-0.5+Z41)*$Y$44</f>
        <v>-0.29946702198534303</v>
      </c>
      <c r="AB41" s="294">
        <f t="shared" ref="AB41:AB71" si="51">MAX(MIN(B_1*Tb_eff*($AA41)/(SQRT(2)*$AG$9),10),-10)</f>
        <v>-0.716562503316857</v>
      </c>
      <c r="AC41" s="294">
        <f t="shared" ref="AC41:AC71" si="52">MAX(MIN(B_1*Tb_eff*(1-$AA41)/(SQRT(2)*$AG$9),10),-10)</f>
        <v>3.1093552007108558</v>
      </c>
      <c r="AD41" s="315">
        <f t="shared" ref="AD41:AD71" si="53">(ERF(AB41)+1)/2</f>
        <v>0.15544115620356053</v>
      </c>
      <c r="AE41" s="315">
        <f t="shared" ref="AE41:AE71" si="54">(ERF(AC41)+1)/2</f>
        <v>0.99999451951540719</v>
      </c>
      <c r="AF41" s="316">
        <f t="shared" ref="AF41:AF71" si="55">AD41+AE41-1</f>
        <v>0.15543567571896766</v>
      </c>
      <c r="AG41" s="316">
        <f t="shared" ref="AG41:AG71" si="56">1-AD41</f>
        <v>0.84455884379643953</v>
      </c>
      <c r="AH41" s="316">
        <f t="shared" ref="AH41:AH71" si="57">1-AE41</f>
        <v>5.4804845928124735E-6</v>
      </c>
      <c r="AI41" s="316">
        <f t="shared" ref="AI41:AI71" si="58">1-AF41</f>
        <v>0.84456432428103234</v>
      </c>
      <c r="AJ41" s="294">
        <f t="shared" ref="AJ41:AJ71" si="59">Z41-1</f>
        <v>-1.25</v>
      </c>
      <c r="AK41" s="294">
        <f t="shared" ref="AK41:AK71" si="60">Z41+1</f>
        <v>0.75</v>
      </c>
      <c r="AL41" s="294">
        <f t="shared" ref="AL41:AL71" si="61">$Z41-$G$9/(2*$Y$44)</f>
        <v>-0.25</v>
      </c>
      <c r="AM41" s="313">
        <f t="shared" ref="AM41:AM71" si="62">$Z41+$G$9/(2*$Y$44)</f>
        <v>-0.25</v>
      </c>
      <c r="AN41" s="294">
        <f>$C$12</f>
        <v>0.3</v>
      </c>
      <c r="AO41" s="323">
        <v>0.5</v>
      </c>
      <c r="AP41" s="314">
        <f t="shared" ref="AP41:AP69" si="63">MAX(MIN(B_1*Tb_eff*($AA41)/(SQRT(2)*$AP$39),10),-10)</f>
        <v>-0.48674252922048356</v>
      </c>
      <c r="AQ41" s="294">
        <f t="shared" ref="AQ41:AQ69" si="64">MAX(MIN(B_1*Tb_eff*(1-$AA41)/(SQRT(2)*$AP$39),10),-10)</f>
        <v>2.1121052352492846</v>
      </c>
      <c r="AR41" s="315">
        <f t="shared" ref="AR41:AR69" si="65">(ERF(AP41)+1)/2</f>
        <v>0.24561371863091253</v>
      </c>
      <c r="AS41" s="315">
        <f t="shared" ref="AS41:AS69" si="66">(ERF(AQ41)+1)/2</f>
        <v>0.99859120332941753</v>
      </c>
      <c r="AT41" s="316">
        <f t="shared" ref="AT41:AT69" si="67">AR41+AS41-1</f>
        <v>0.24420492196033017</v>
      </c>
      <c r="AU41" s="316">
        <f t="shared" ref="AU41:AW69" si="68">1-AR41</f>
        <v>0.75438628136908747</v>
      </c>
      <c r="AV41" s="316">
        <f t="shared" si="68"/>
        <v>1.4087966705824684E-3</v>
      </c>
      <c r="AW41" s="338">
        <f t="shared" si="68"/>
        <v>0.75579507803966983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71" si="69">Z41+$Y$42</f>
        <v>-0.2</v>
      </c>
      <c r="AA42" s="294">
        <f t="shared" si="50"/>
        <v>-0.2461692205196534</v>
      </c>
      <c r="AB42" s="294">
        <f t="shared" si="51"/>
        <v>-0.58903191318259951</v>
      </c>
      <c r="AC42" s="294">
        <f t="shared" si="52"/>
        <v>2.9818246105765982</v>
      </c>
      <c r="AD42" s="315">
        <f t="shared" si="53"/>
        <v>0.20241759331677506</v>
      </c>
      <c r="AE42" s="315">
        <f t="shared" si="54"/>
        <v>0.99998761783305334</v>
      </c>
      <c r="AF42" s="316">
        <f t="shared" si="55"/>
        <v>0.20240521114982846</v>
      </c>
      <c r="AG42" s="316">
        <f t="shared" si="56"/>
        <v>0.79758240668322489</v>
      </c>
      <c r="AH42" s="316">
        <f t="shared" si="57"/>
        <v>1.238216694665617E-5</v>
      </c>
      <c r="AI42" s="316">
        <f t="shared" si="58"/>
        <v>0.79759478885017154</v>
      </c>
      <c r="AJ42" s="294">
        <f t="shared" si="59"/>
        <v>-1.2</v>
      </c>
      <c r="AK42" s="294">
        <f t="shared" si="60"/>
        <v>0.8</v>
      </c>
      <c r="AL42" s="294">
        <f t="shared" si="61"/>
        <v>-0.2</v>
      </c>
      <c r="AM42" s="313">
        <f t="shared" si="62"/>
        <v>-0.2</v>
      </c>
      <c r="AN42" s="294">
        <f>$C$13</f>
        <v>0.4</v>
      </c>
      <c r="AO42" s="323">
        <f>$C$14</f>
        <v>0.25</v>
      </c>
      <c r="AP42" s="314">
        <f t="shared" si="63"/>
        <v>-0.40011427040482445</v>
      </c>
      <c r="AQ42" s="294">
        <f t="shared" si="64"/>
        <v>2.0254769764336249</v>
      </c>
      <c r="AR42" s="315">
        <f t="shared" si="65"/>
        <v>0.28574888713119989</v>
      </c>
      <c r="AS42" s="315">
        <f t="shared" si="66"/>
        <v>0.9979113757419722</v>
      </c>
      <c r="AT42" s="316">
        <f t="shared" si="67"/>
        <v>0.28366026287317214</v>
      </c>
      <c r="AU42" s="316">
        <f t="shared" si="68"/>
        <v>0.71425111286880005</v>
      </c>
      <c r="AV42" s="316">
        <f t="shared" si="68"/>
        <v>2.0886242580278047E-3</v>
      </c>
      <c r="AW42" s="338">
        <f t="shared" si="68"/>
        <v>0.71633973712682786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-0.19287141905396399</v>
      </c>
      <c r="AB43" s="294">
        <f t="shared" si="51"/>
        <v>-0.46150132304834279</v>
      </c>
      <c r="AC43" s="294">
        <f t="shared" si="52"/>
        <v>2.8542940204423415</v>
      </c>
      <c r="AD43" s="315">
        <f t="shared" si="53"/>
        <v>0.25698728652501318</v>
      </c>
      <c r="AE43" s="315">
        <f t="shared" si="54"/>
        <v>0.9999728821334215</v>
      </c>
      <c r="AF43" s="316">
        <f t="shared" si="55"/>
        <v>0.25696016865843463</v>
      </c>
      <c r="AG43" s="316">
        <f t="shared" si="56"/>
        <v>0.74301271347498687</v>
      </c>
      <c r="AH43" s="316">
        <f t="shared" si="57"/>
        <v>2.7117866578496574E-5</v>
      </c>
      <c r="AI43" s="316">
        <f t="shared" si="58"/>
        <v>0.74303983134156537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-0.15000000000000002</v>
      </c>
      <c r="AM43" s="313">
        <f t="shared" si="62"/>
        <v>-0.15000000000000002</v>
      </c>
      <c r="AN43" s="294">
        <f>1-AN42</f>
        <v>0.6</v>
      </c>
      <c r="AO43" s="323">
        <f>$C$14</f>
        <v>0.25</v>
      </c>
      <c r="AP43" s="314">
        <f t="shared" si="63"/>
        <v>-0.31348601158916573</v>
      </c>
      <c r="AQ43" s="294">
        <f t="shared" si="64"/>
        <v>1.9388487176179665</v>
      </c>
      <c r="AR43" s="315">
        <f t="shared" si="65"/>
        <v>0.32876129894870321</v>
      </c>
      <c r="AS43" s="315">
        <f t="shared" si="66"/>
        <v>0.99694618233487964</v>
      </c>
      <c r="AT43" s="316">
        <f t="shared" si="67"/>
        <v>0.32570748128358273</v>
      </c>
      <c r="AU43" s="316">
        <f t="shared" si="68"/>
        <v>0.67123870105129679</v>
      </c>
      <c r="AV43" s="316">
        <f t="shared" si="68"/>
        <v>3.0538176651203619E-3</v>
      </c>
      <c r="AW43" s="338">
        <f t="shared" si="68"/>
        <v>0.67429251871641727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1.0659560293137906</v>
      </c>
      <c r="Z44" s="294">
        <f t="shared" si="69"/>
        <v>-0.10000000000000002</v>
      </c>
      <c r="AA44" s="294">
        <f t="shared" si="50"/>
        <v>-0.13957361758827436</v>
      </c>
      <c r="AB44" s="294">
        <f t="shared" si="51"/>
        <v>-0.33397073291408547</v>
      </c>
      <c r="AC44" s="294">
        <f t="shared" si="52"/>
        <v>2.7267634303080839</v>
      </c>
      <c r="AD44" s="315">
        <f t="shared" si="53"/>
        <v>0.31835421559328647</v>
      </c>
      <c r="AE44" s="315">
        <f t="shared" si="54"/>
        <v>0.99994242444113346</v>
      </c>
      <c r="AF44" s="316">
        <f t="shared" si="55"/>
        <v>0.31829664003441982</v>
      </c>
      <c r="AG44" s="316">
        <f t="shared" si="56"/>
        <v>0.68164578440671353</v>
      </c>
      <c r="AH44" s="316">
        <f t="shared" si="57"/>
        <v>5.7575558866540533E-5</v>
      </c>
      <c r="AI44" s="316">
        <f t="shared" si="58"/>
        <v>0.68170335996558018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-0.10000000000000002</v>
      </c>
      <c r="AM44" s="313">
        <f t="shared" si="62"/>
        <v>-0.10000000000000002</v>
      </c>
      <c r="AN44" s="294">
        <f>1-AN41</f>
        <v>0.7</v>
      </c>
      <c r="AO44" s="323">
        <v>0.5</v>
      </c>
      <c r="AP44" s="314">
        <f t="shared" si="63"/>
        <v>-0.22685775277350664</v>
      </c>
      <c r="AQ44" s="294">
        <f t="shared" si="64"/>
        <v>1.852220458802307</v>
      </c>
      <c r="AR44" s="315">
        <f t="shared" si="65"/>
        <v>0.37417138866653549</v>
      </c>
      <c r="AS44" s="315">
        <f t="shared" si="66"/>
        <v>0.99559622599448105</v>
      </c>
      <c r="AT44" s="316">
        <f t="shared" si="67"/>
        <v>0.36976761466101649</v>
      </c>
      <c r="AU44" s="316">
        <f t="shared" si="68"/>
        <v>0.62582861133346457</v>
      </c>
      <c r="AV44" s="316">
        <f t="shared" si="68"/>
        <v>4.4037740055189456E-3</v>
      </c>
      <c r="AW44" s="338">
        <f t="shared" si="68"/>
        <v>0.63023238533898351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-8.6275816122584947E-2</v>
      </c>
      <c r="AB45" s="294">
        <f t="shared" si="51"/>
        <v>-0.20644014277982867</v>
      </c>
      <c r="AC45" s="294">
        <f t="shared" si="52"/>
        <v>2.5992328401738276</v>
      </c>
      <c r="AD45" s="315">
        <f t="shared" si="53"/>
        <v>0.38516225479174399</v>
      </c>
      <c r="AE45" s="315">
        <f t="shared" si="54"/>
        <v>0.99988148004799571</v>
      </c>
      <c r="AF45" s="316">
        <f t="shared" si="55"/>
        <v>0.38504373483973975</v>
      </c>
      <c r="AG45" s="316">
        <f t="shared" si="56"/>
        <v>0.61483774520825607</v>
      </c>
      <c r="AH45" s="316">
        <f t="shared" si="57"/>
        <v>1.1851995200429233E-4</v>
      </c>
      <c r="AI45" s="316">
        <f t="shared" si="58"/>
        <v>0.61495626516026025</v>
      </c>
      <c r="AJ45" s="294">
        <f t="shared" si="59"/>
        <v>-1.05</v>
      </c>
      <c r="AK45" s="294">
        <f t="shared" si="60"/>
        <v>0.95</v>
      </c>
      <c r="AL45" s="294">
        <f t="shared" si="61"/>
        <v>-5.0000000000000017E-2</v>
      </c>
      <c r="AM45" s="313">
        <f t="shared" si="62"/>
        <v>-5.0000000000000017E-2</v>
      </c>
      <c r="AN45" s="294">
        <f>AN43</f>
        <v>0.6</v>
      </c>
      <c r="AO45" s="323">
        <f>1-$C$14</f>
        <v>0.75</v>
      </c>
      <c r="AP45" s="314">
        <f t="shared" si="63"/>
        <v>-0.14022949395784789</v>
      </c>
      <c r="AQ45" s="294">
        <f t="shared" si="64"/>
        <v>1.7655921999866486</v>
      </c>
      <c r="AR45" s="315">
        <f t="shared" si="65"/>
        <v>0.42139952251179624</v>
      </c>
      <c r="AS45" s="315">
        <f t="shared" si="66"/>
        <v>0.99373621754475305</v>
      </c>
      <c r="AT45" s="316">
        <f t="shared" si="67"/>
        <v>0.41513574005654919</v>
      </c>
      <c r="AU45" s="316">
        <f t="shared" si="68"/>
        <v>0.57860047748820376</v>
      </c>
      <c r="AV45" s="316">
        <f t="shared" si="68"/>
        <v>6.2637824552469468E-3</v>
      </c>
      <c r="AW45" s="338">
        <f t="shared" si="68"/>
        <v>0.58486425994345081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-3.2978014656895316E-2</v>
      </c>
      <c r="AB46" s="294">
        <f t="shared" si="51"/>
        <v>-7.8909552645571382E-2</v>
      </c>
      <c r="AC46" s="294">
        <f t="shared" si="52"/>
        <v>2.47170225003957</v>
      </c>
      <c r="AD46" s="315">
        <f t="shared" si="53"/>
        <v>0.45557228437677866</v>
      </c>
      <c r="AE46" s="315">
        <f t="shared" si="54"/>
        <v>0.99976342593296008</v>
      </c>
      <c r="AF46" s="316">
        <f t="shared" si="55"/>
        <v>0.45533571030973885</v>
      </c>
      <c r="AG46" s="316">
        <f t="shared" si="56"/>
        <v>0.54442771562322134</v>
      </c>
      <c r="AH46" s="316">
        <f t="shared" si="57"/>
        <v>2.3657406703991857E-4</v>
      </c>
      <c r="AI46" s="316">
        <f t="shared" si="58"/>
        <v>0.54466428969026115</v>
      </c>
      <c r="AJ46" s="294">
        <f t="shared" si="59"/>
        <v>-1</v>
      </c>
      <c r="AK46" s="294">
        <f t="shared" si="60"/>
        <v>1</v>
      </c>
      <c r="AL46" s="294">
        <f t="shared" si="61"/>
        <v>0</v>
      </c>
      <c r="AM46" s="313">
        <f t="shared" si="62"/>
        <v>0</v>
      </c>
      <c r="AN46" s="294">
        <f>AN42</f>
        <v>0.4</v>
      </c>
      <c r="AO46" s="323">
        <f>AO45</f>
        <v>0.75</v>
      </c>
      <c r="AP46" s="314">
        <f t="shared" si="63"/>
        <v>-5.3601235142188827E-2</v>
      </c>
      <c r="AQ46" s="294">
        <f t="shared" si="64"/>
        <v>1.6789639411709896</v>
      </c>
      <c r="AR46" s="315">
        <f t="shared" si="65"/>
        <v>0.4697876784981932</v>
      </c>
      <c r="AS46" s="315">
        <f t="shared" si="66"/>
        <v>0.99121157478765609</v>
      </c>
      <c r="AT46" s="316">
        <f t="shared" si="67"/>
        <v>0.46099925328584934</v>
      </c>
      <c r="AU46" s="316">
        <f t="shared" si="68"/>
        <v>0.53021232150180686</v>
      </c>
      <c r="AV46" s="316">
        <f t="shared" si="68"/>
        <v>8.7884252123439088E-3</v>
      </c>
      <c r="AW46" s="338">
        <f t="shared" si="68"/>
        <v>0.53900074671415066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2.0319786808794205E-2</v>
      </c>
      <c r="AB47" s="294">
        <f t="shared" si="51"/>
        <v>4.8621037488685681E-2</v>
      </c>
      <c r="AC47" s="294">
        <f t="shared" si="52"/>
        <v>2.3441716599053133</v>
      </c>
      <c r="AD47" s="315">
        <f t="shared" si="53"/>
        <v>0.52740988215706064</v>
      </c>
      <c r="AE47" s="315">
        <f t="shared" si="54"/>
        <v>0.99954204551983339</v>
      </c>
      <c r="AF47" s="316">
        <f t="shared" si="55"/>
        <v>0.52695192767689392</v>
      </c>
      <c r="AG47" s="316">
        <f t="shared" si="56"/>
        <v>0.47259011784293936</v>
      </c>
      <c r="AH47" s="316">
        <f t="shared" si="57"/>
        <v>4.5795448016661133E-4</v>
      </c>
      <c r="AI47" s="316">
        <f t="shared" si="58"/>
        <v>0.47304807232310608</v>
      </c>
      <c r="AJ47" s="294">
        <f t="shared" si="59"/>
        <v>-0.95</v>
      </c>
      <c r="AK47" s="294">
        <f t="shared" si="60"/>
        <v>1.05</v>
      </c>
      <c r="AL47" s="294">
        <f t="shared" si="61"/>
        <v>0.05</v>
      </c>
      <c r="AM47" s="313">
        <f t="shared" si="62"/>
        <v>0.05</v>
      </c>
      <c r="AN47" s="319">
        <f>AN41</f>
        <v>0.3</v>
      </c>
      <c r="AO47" s="324">
        <v>0.5</v>
      </c>
      <c r="AP47" s="314">
        <f t="shared" si="63"/>
        <v>3.3027023673470081E-2</v>
      </c>
      <c r="AQ47" s="294">
        <f t="shared" si="64"/>
        <v>1.5923356823553307</v>
      </c>
      <c r="AR47" s="315">
        <f t="shared" si="65"/>
        <v>0.51862672990458192</v>
      </c>
      <c r="AS47" s="315">
        <f t="shared" si="66"/>
        <v>0.98783578982291542</v>
      </c>
      <c r="AT47" s="316">
        <f t="shared" si="67"/>
        <v>0.50646251972749745</v>
      </c>
      <c r="AU47" s="316">
        <f t="shared" si="68"/>
        <v>0.48137327009541808</v>
      </c>
      <c r="AV47" s="316">
        <f t="shared" si="68"/>
        <v>1.2164210177084578E-2</v>
      </c>
      <c r="AW47" s="338">
        <f t="shared" si="68"/>
        <v>0.49353748027250255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7.3617588274483725E-2</v>
      </c>
      <c r="AB48" s="294">
        <f t="shared" si="51"/>
        <v>0.17615162762294273</v>
      </c>
      <c r="AC48" s="294">
        <f t="shared" si="52"/>
        <v>2.2166410697710561</v>
      </c>
      <c r="AD48" s="315">
        <f t="shared" si="53"/>
        <v>0.59836448139050968</v>
      </c>
      <c r="AE48" s="315">
        <f t="shared" si="54"/>
        <v>0.99914015475778628</v>
      </c>
      <c r="AF48" s="316">
        <f t="shared" si="55"/>
        <v>0.59750463614829608</v>
      </c>
      <c r="AG48" s="316">
        <f t="shared" si="56"/>
        <v>0.40163551860949032</v>
      </c>
      <c r="AH48" s="316">
        <f t="shared" si="57"/>
        <v>8.5984524221371927E-4</v>
      </c>
      <c r="AI48" s="316">
        <f t="shared" si="58"/>
        <v>0.40249536385170392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0.1</v>
      </c>
      <c r="AM48" s="313">
        <f t="shared" si="62"/>
        <v>0.1</v>
      </c>
      <c r="AP48" s="314">
        <f t="shared" si="63"/>
        <v>0.11965528248912898</v>
      </c>
      <c r="AQ48" s="294">
        <f t="shared" si="64"/>
        <v>1.5057074235396717</v>
      </c>
      <c r="AR48" s="315">
        <f t="shared" si="65"/>
        <v>0.56718746248927221</v>
      </c>
      <c r="AS48" s="315">
        <f t="shared" si="66"/>
        <v>0.98338907329091585</v>
      </c>
      <c r="AT48" s="316">
        <f t="shared" si="67"/>
        <v>0.55057653578018817</v>
      </c>
      <c r="AU48" s="316">
        <f t="shared" si="68"/>
        <v>0.43281253751072779</v>
      </c>
      <c r="AV48" s="316">
        <f t="shared" si="68"/>
        <v>1.6610926709084151E-2</v>
      </c>
      <c r="AW48" s="338">
        <f t="shared" si="68"/>
        <v>0.44942346421981183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0.1269153897401733</v>
      </c>
      <c r="AB49" s="294">
        <f t="shared" si="51"/>
        <v>0.30368221775719995</v>
      </c>
      <c r="AC49" s="294">
        <f t="shared" si="52"/>
        <v>2.089110479636799</v>
      </c>
      <c r="AD49" s="315">
        <f t="shared" si="53"/>
        <v>0.66620993893539282</v>
      </c>
      <c r="AE49" s="315">
        <f t="shared" si="54"/>
        <v>0.9984338572204452</v>
      </c>
      <c r="AF49" s="316">
        <f t="shared" si="55"/>
        <v>0.66464379615583802</v>
      </c>
      <c r="AG49" s="316">
        <f t="shared" si="56"/>
        <v>0.33379006106460718</v>
      </c>
      <c r="AH49" s="316">
        <f t="shared" si="57"/>
        <v>1.5661427795548022E-3</v>
      </c>
      <c r="AI49" s="316">
        <f t="shared" si="58"/>
        <v>0.33535620384416198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0.15000000000000002</v>
      </c>
      <c r="AM49" s="313">
        <f t="shared" si="62"/>
        <v>0.15000000000000002</v>
      </c>
      <c r="AP49" s="314">
        <f t="shared" si="63"/>
        <v>0.20628354130478799</v>
      </c>
      <c r="AQ49" s="294">
        <f t="shared" si="64"/>
        <v>1.4190791647240129</v>
      </c>
      <c r="AR49" s="315">
        <f t="shared" si="65"/>
        <v>0.61475307582631311</v>
      </c>
      <c r="AS49" s="315">
        <f t="shared" si="66"/>
        <v>0.97761883234890345</v>
      </c>
      <c r="AT49" s="316">
        <f t="shared" si="67"/>
        <v>0.59237190817521657</v>
      </c>
      <c r="AU49" s="316">
        <f t="shared" si="68"/>
        <v>0.38524692417368689</v>
      </c>
      <c r="AV49" s="316">
        <f t="shared" si="68"/>
        <v>2.2381167651096545E-2</v>
      </c>
      <c r="AW49" s="338">
        <f t="shared" si="68"/>
        <v>0.40762809182478343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0.18021319120586282</v>
      </c>
      <c r="AB50" s="294">
        <f t="shared" si="51"/>
        <v>0.431212807891457</v>
      </c>
      <c r="AC50" s="294">
        <f t="shared" si="52"/>
        <v>1.9615798895025416</v>
      </c>
      <c r="AD50" s="315">
        <f t="shared" si="53"/>
        <v>0.72901179344794198</v>
      </c>
      <c r="AE50" s="315">
        <f t="shared" si="54"/>
        <v>0.99723220645495592</v>
      </c>
      <c r="AF50" s="316">
        <f t="shared" si="55"/>
        <v>0.72624399990289801</v>
      </c>
      <c r="AG50" s="316">
        <f t="shared" si="56"/>
        <v>0.27098820655205802</v>
      </c>
      <c r="AH50" s="316">
        <f t="shared" si="57"/>
        <v>2.7677935450440838E-3</v>
      </c>
      <c r="AI50" s="316">
        <f t="shared" si="58"/>
        <v>0.27375600009710199</v>
      </c>
      <c r="AJ50" s="294">
        <f t="shared" si="59"/>
        <v>-0.8</v>
      </c>
      <c r="AK50" s="294">
        <f t="shared" si="60"/>
        <v>1.2</v>
      </c>
      <c r="AL50" s="294">
        <f t="shared" si="61"/>
        <v>0.2</v>
      </c>
      <c r="AM50" s="313">
        <f t="shared" si="62"/>
        <v>0.2</v>
      </c>
      <c r="AP50" s="314">
        <f t="shared" si="63"/>
        <v>0.29291180012044693</v>
      </c>
      <c r="AQ50" s="294">
        <f t="shared" si="64"/>
        <v>1.3324509059083538</v>
      </c>
      <c r="AR50" s="315">
        <f t="shared" si="65"/>
        <v>0.66065076639640519</v>
      </c>
      <c r="AS50" s="315">
        <f t="shared" si="66"/>
        <v>0.97024253719226605</v>
      </c>
      <c r="AT50" s="316">
        <f t="shared" si="67"/>
        <v>0.63089330358867124</v>
      </c>
      <c r="AU50" s="316">
        <f t="shared" si="68"/>
        <v>0.33934923360359481</v>
      </c>
      <c r="AV50" s="316">
        <f t="shared" si="68"/>
        <v>2.9757462807733948E-2</v>
      </c>
      <c r="AW50" s="338">
        <f t="shared" si="68"/>
        <v>0.36910669641132876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0.23351099267155234</v>
      </c>
      <c r="AB51" s="294">
        <f t="shared" si="51"/>
        <v>0.55874339802571404</v>
      </c>
      <c r="AC51" s="294">
        <f t="shared" si="52"/>
        <v>1.8340492993682846</v>
      </c>
      <c r="AD51" s="315">
        <f t="shared" si="53"/>
        <v>0.78528940016607651</v>
      </c>
      <c r="AE51" s="315">
        <f t="shared" si="54"/>
        <v>0.99525305142426612</v>
      </c>
      <c r="AF51" s="316">
        <f t="shared" si="55"/>
        <v>0.78054245159034252</v>
      </c>
      <c r="AG51" s="316">
        <f t="shared" si="56"/>
        <v>0.21471059983392349</v>
      </c>
      <c r="AH51" s="316">
        <f t="shared" si="57"/>
        <v>4.7469485757338781E-3</v>
      </c>
      <c r="AI51" s="316">
        <f t="shared" si="58"/>
        <v>0.21945754840965748</v>
      </c>
      <c r="AJ51" s="294">
        <f t="shared" si="59"/>
        <v>-0.75</v>
      </c>
      <c r="AK51" s="294">
        <f t="shared" si="60"/>
        <v>1.25</v>
      </c>
      <c r="AL51" s="294">
        <f t="shared" si="61"/>
        <v>0.25</v>
      </c>
      <c r="AM51" s="313">
        <f t="shared" si="62"/>
        <v>0.25</v>
      </c>
      <c r="AP51" s="314">
        <f t="shared" si="63"/>
        <v>0.37954005893610582</v>
      </c>
      <c r="AQ51" s="294">
        <f t="shared" si="64"/>
        <v>1.245822647092695</v>
      </c>
      <c r="AR51" s="315">
        <f t="shared" si="65"/>
        <v>0.70428008468634418</v>
      </c>
      <c r="AS51" s="315">
        <f t="shared" si="66"/>
        <v>0.96095346232224688</v>
      </c>
      <c r="AT51" s="316">
        <f t="shared" si="67"/>
        <v>0.66523354700859105</v>
      </c>
      <c r="AU51" s="316">
        <f t="shared" si="68"/>
        <v>0.29571991531365582</v>
      </c>
      <c r="AV51" s="316">
        <f t="shared" si="68"/>
        <v>3.9046537677753124E-2</v>
      </c>
      <c r="AW51" s="338">
        <f t="shared" si="68"/>
        <v>0.33476645299140895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0.28680879413724186</v>
      </c>
      <c r="AB52" s="294">
        <f t="shared" si="51"/>
        <v>0.68627398815997109</v>
      </c>
      <c r="AC52" s="294">
        <f t="shared" si="52"/>
        <v>1.7065187092340275</v>
      </c>
      <c r="AD52" s="315">
        <f t="shared" si="53"/>
        <v>0.83411079883302985</v>
      </c>
      <c r="AE52" s="315">
        <f t="shared" si="54"/>
        <v>0.99209737551562316</v>
      </c>
      <c r="AF52" s="316">
        <f t="shared" si="55"/>
        <v>0.82620817434865312</v>
      </c>
      <c r="AG52" s="316">
        <f t="shared" si="56"/>
        <v>0.16588920116697015</v>
      </c>
      <c r="AH52" s="316">
        <f t="shared" si="57"/>
        <v>7.9026244843768412E-3</v>
      </c>
      <c r="AI52" s="316">
        <f t="shared" si="58"/>
        <v>0.17379182565134688</v>
      </c>
      <c r="AJ52" s="294">
        <f t="shared" si="59"/>
        <v>-0.7</v>
      </c>
      <c r="AK52" s="294">
        <f t="shared" si="60"/>
        <v>1.3</v>
      </c>
      <c r="AL52" s="294">
        <f t="shared" si="61"/>
        <v>0.3</v>
      </c>
      <c r="AM52" s="313">
        <f t="shared" si="62"/>
        <v>0.3</v>
      </c>
      <c r="AP52" s="314">
        <f t="shared" si="63"/>
        <v>0.46616831775176476</v>
      </c>
      <c r="AQ52" s="294">
        <f t="shared" si="64"/>
        <v>1.1591943882770359</v>
      </c>
      <c r="AR52" s="315">
        <f t="shared" si="65"/>
        <v>0.74513608807260268</v>
      </c>
      <c r="AS52" s="315">
        <f t="shared" si="66"/>
        <v>0.94942964190918422</v>
      </c>
      <c r="AT52" s="316">
        <f t="shared" si="67"/>
        <v>0.69456572998178689</v>
      </c>
      <c r="AU52" s="316">
        <f t="shared" si="68"/>
        <v>0.25486391192739732</v>
      </c>
      <c r="AV52" s="316">
        <f t="shared" si="68"/>
        <v>5.0570358090815781E-2</v>
      </c>
      <c r="AW52" s="338">
        <f t="shared" si="68"/>
        <v>0.30543427001821311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0.34010659560293138</v>
      </c>
      <c r="AB53" s="294">
        <f t="shared" si="51"/>
        <v>0.81380457829422814</v>
      </c>
      <c r="AC53" s="294">
        <f t="shared" si="52"/>
        <v>1.5789881190997708</v>
      </c>
      <c r="AD53" s="315">
        <f t="shared" si="53"/>
        <v>0.87511196807972524</v>
      </c>
      <c r="AE53" s="315">
        <f t="shared" si="54"/>
        <v>0.98722639868607887</v>
      </c>
      <c r="AF53" s="316">
        <f t="shared" si="55"/>
        <v>0.86233836676580422</v>
      </c>
      <c r="AG53" s="316">
        <f t="shared" si="56"/>
        <v>0.12488803192027476</v>
      </c>
      <c r="AH53" s="316">
        <f t="shared" si="57"/>
        <v>1.2773601313921135E-2</v>
      </c>
      <c r="AI53" s="316">
        <f t="shared" si="58"/>
        <v>0.13766163323419578</v>
      </c>
      <c r="AJ53" s="294">
        <f t="shared" si="59"/>
        <v>-0.65</v>
      </c>
      <c r="AK53" s="294">
        <f t="shared" si="60"/>
        <v>1.35</v>
      </c>
      <c r="AL53" s="294">
        <f t="shared" si="61"/>
        <v>0.35</v>
      </c>
      <c r="AM53" s="313">
        <f t="shared" si="62"/>
        <v>0.35</v>
      </c>
      <c r="AP53" s="314">
        <f t="shared" si="63"/>
        <v>0.55279657656742365</v>
      </c>
      <c r="AQ53" s="294">
        <f t="shared" si="64"/>
        <v>1.0725661294613771</v>
      </c>
      <c r="AR53" s="315">
        <f t="shared" si="65"/>
        <v>0.78282583262352534</v>
      </c>
      <c r="AS53" s="315">
        <f t="shared" si="66"/>
        <v>0.93534615015227529</v>
      </c>
      <c r="AT53" s="316">
        <f t="shared" si="67"/>
        <v>0.71817198277580063</v>
      </c>
      <c r="AU53" s="316">
        <f t="shared" si="68"/>
        <v>0.21717416737647466</v>
      </c>
      <c r="AV53" s="316">
        <f t="shared" si="68"/>
        <v>6.4653849847724709E-2</v>
      </c>
      <c r="AW53" s="338">
        <f t="shared" si="68"/>
        <v>0.28182801722419937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0.3934043970686209</v>
      </c>
      <c r="AB54" s="294">
        <f t="shared" si="51"/>
        <v>0.94133516842848519</v>
      </c>
      <c r="AC54" s="294">
        <f t="shared" si="52"/>
        <v>1.4514575289655134</v>
      </c>
      <c r="AD54" s="315">
        <f t="shared" si="53"/>
        <v>0.9084464471331184</v>
      </c>
      <c r="AE54" s="315">
        <f t="shared" si="54"/>
        <v>0.97994774802315998</v>
      </c>
      <c r="AF54" s="316">
        <f t="shared" si="55"/>
        <v>0.88839419515627838</v>
      </c>
      <c r="AG54" s="316">
        <f t="shared" si="56"/>
        <v>9.1553552866881605E-2</v>
      </c>
      <c r="AH54" s="316">
        <f t="shared" si="57"/>
        <v>2.0052251976840019E-2</v>
      </c>
      <c r="AI54" s="316">
        <f t="shared" si="58"/>
        <v>0.11160580484372162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0.39999999999999997</v>
      </c>
      <c r="AM54" s="313">
        <f t="shared" si="62"/>
        <v>0.39999999999999997</v>
      </c>
      <c r="AP54" s="314">
        <f t="shared" si="63"/>
        <v>0.63942483538308248</v>
      </c>
      <c r="AQ54" s="294">
        <f t="shared" si="64"/>
        <v>0.98593787064571814</v>
      </c>
      <c r="AR54" s="315">
        <f t="shared" si="65"/>
        <v>0.81707739334291041</v>
      </c>
      <c r="AS54" s="315">
        <f t="shared" si="66"/>
        <v>0.91839051540205863</v>
      </c>
      <c r="AT54" s="316">
        <f t="shared" si="67"/>
        <v>0.73546790874496892</v>
      </c>
      <c r="AU54" s="316">
        <f t="shared" si="68"/>
        <v>0.18292260665708959</v>
      </c>
      <c r="AV54" s="316">
        <f t="shared" si="68"/>
        <v>8.1609484597941373E-2</v>
      </c>
      <c r="AW54" s="338">
        <f t="shared" si="68"/>
        <v>0.26453209125503108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0.44670219853431042</v>
      </c>
      <c r="AB55" s="294">
        <f t="shared" si="51"/>
        <v>1.0688657585627424</v>
      </c>
      <c r="AC55" s="294">
        <f t="shared" si="52"/>
        <v>1.3239269388312567</v>
      </c>
      <c r="AD55" s="315">
        <f t="shared" si="53"/>
        <v>0.93468274079195401</v>
      </c>
      <c r="AE55" s="315">
        <f t="shared" si="54"/>
        <v>0.96941851152263903</v>
      </c>
      <c r="AF55" s="316">
        <f t="shared" si="55"/>
        <v>0.90410125231459304</v>
      </c>
      <c r="AG55" s="316">
        <f t="shared" si="56"/>
        <v>6.5317259208045986E-2</v>
      </c>
      <c r="AH55" s="316">
        <f t="shared" si="57"/>
        <v>3.0581488477360974E-2</v>
      </c>
      <c r="AI55" s="316">
        <f t="shared" si="58"/>
        <v>9.589874768540696E-2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0.44999999999999996</v>
      </c>
      <c r="AM55" s="313">
        <f t="shared" si="62"/>
        <v>0.44999999999999996</v>
      </c>
      <c r="AP55" s="314">
        <f t="shared" si="63"/>
        <v>0.72605309419874142</v>
      </c>
      <c r="AQ55" s="294">
        <f t="shared" si="64"/>
        <v>0.89930961183005942</v>
      </c>
      <c r="AR55" s="315">
        <f t="shared" si="65"/>
        <v>0.84774129365296036</v>
      </c>
      <c r="AS55" s="315">
        <f t="shared" si="66"/>
        <v>0.89828072194639796</v>
      </c>
      <c r="AT55" s="316">
        <f t="shared" si="67"/>
        <v>0.74602201559935821</v>
      </c>
      <c r="AU55" s="316">
        <f t="shared" si="68"/>
        <v>0.15225870634703964</v>
      </c>
      <c r="AV55" s="316">
        <f t="shared" si="68"/>
        <v>0.10171927805360204</v>
      </c>
      <c r="AW55" s="338">
        <f t="shared" si="68"/>
        <v>0.25397798440064179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1.1963963486969993</v>
      </c>
      <c r="AC56" s="294">
        <f t="shared" si="52"/>
        <v>1.1963963486969995</v>
      </c>
      <c r="AD56" s="315">
        <f t="shared" si="53"/>
        <v>0.95467319420421015</v>
      </c>
      <c r="AE56" s="315">
        <f t="shared" si="54"/>
        <v>0.95467319420421015</v>
      </c>
      <c r="AF56" s="316">
        <f t="shared" si="55"/>
        <v>0.9093463884084203</v>
      </c>
      <c r="AG56" s="316">
        <f t="shared" si="56"/>
        <v>4.5326805795789848E-2</v>
      </c>
      <c r="AH56" s="316">
        <f t="shared" si="57"/>
        <v>4.5326805795789848E-2</v>
      </c>
      <c r="AI56" s="316">
        <f t="shared" si="58"/>
        <v>9.0653611591579697E-2</v>
      </c>
      <c r="AJ56" s="294">
        <f t="shared" si="59"/>
        <v>-0.5</v>
      </c>
      <c r="AK56" s="294">
        <f t="shared" si="60"/>
        <v>1.5</v>
      </c>
      <c r="AL56" s="294">
        <f t="shared" si="61"/>
        <v>0.49999999999999994</v>
      </c>
      <c r="AM56" s="313">
        <f t="shared" si="62"/>
        <v>0.49999999999999994</v>
      </c>
      <c r="AP56" s="314">
        <f t="shared" si="63"/>
        <v>0.81268135301440025</v>
      </c>
      <c r="AQ56" s="294">
        <f t="shared" si="64"/>
        <v>0.81268135301440036</v>
      </c>
      <c r="AR56" s="315">
        <f t="shared" si="65"/>
        <v>0.87478487966695162</v>
      </c>
      <c r="AS56" s="315">
        <f t="shared" si="66"/>
        <v>0.87478487966695162</v>
      </c>
      <c r="AT56" s="316">
        <f t="shared" si="67"/>
        <v>0.74956975933390324</v>
      </c>
      <c r="AU56" s="316">
        <f t="shared" si="68"/>
        <v>0.12521512033304838</v>
      </c>
      <c r="AV56" s="316">
        <f t="shared" si="68"/>
        <v>0.12521512033304838</v>
      </c>
      <c r="AW56" s="338">
        <f t="shared" si="68"/>
        <v>0.25043024066609676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0.55329780146568941</v>
      </c>
      <c r="AB57" s="294">
        <f t="shared" si="51"/>
        <v>1.3239269388312562</v>
      </c>
      <c r="AC57" s="294">
        <f t="shared" si="52"/>
        <v>1.0688657585627426</v>
      </c>
      <c r="AD57" s="315">
        <f t="shared" si="53"/>
        <v>0.96941851152263903</v>
      </c>
      <c r="AE57" s="315">
        <f t="shared" si="54"/>
        <v>0.93468274079195401</v>
      </c>
      <c r="AF57" s="316">
        <f t="shared" si="55"/>
        <v>0.90410125231459304</v>
      </c>
      <c r="AG57" s="316">
        <f t="shared" si="56"/>
        <v>3.0581488477360974E-2</v>
      </c>
      <c r="AH57" s="316">
        <f t="shared" si="57"/>
        <v>6.5317259208045986E-2</v>
      </c>
      <c r="AI57" s="316">
        <f t="shared" si="58"/>
        <v>9.589874768540696E-2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0.54999999999999993</v>
      </c>
      <c r="AM57" s="313">
        <f t="shared" si="62"/>
        <v>0.54999999999999993</v>
      </c>
      <c r="AP57" s="314">
        <f t="shared" si="63"/>
        <v>0.8993096118300592</v>
      </c>
      <c r="AQ57" s="294">
        <f t="shared" si="64"/>
        <v>0.72605309419874176</v>
      </c>
      <c r="AR57" s="315">
        <f t="shared" si="65"/>
        <v>0.89828072194639796</v>
      </c>
      <c r="AS57" s="315">
        <f t="shared" si="66"/>
        <v>0.84774129365296047</v>
      </c>
      <c r="AT57" s="316">
        <f t="shared" si="67"/>
        <v>0.74602201559935843</v>
      </c>
      <c r="AU57" s="316">
        <f t="shared" si="68"/>
        <v>0.10171927805360204</v>
      </c>
      <c r="AV57" s="316">
        <f t="shared" si="68"/>
        <v>0.15225870634703953</v>
      </c>
      <c r="AW57" s="338">
        <f t="shared" si="68"/>
        <v>0.25397798440064157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0.60659560293137904</v>
      </c>
      <c r="AB58" s="294">
        <f t="shared" si="51"/>
        <v>1.4514575289655134</v>
      </c>
      <c r="AC58" s="294">
        <f t="shared" si="52"/>
        <v>0.9413351684284853</v>
      </c>
      <c r="AD58" s="315">
        <f t="shared" si="53"/>
        <v>0.97994774802315998</v>
      </c>
      <c r="AE58" s="315">
        <f t="shared" si="54"/>
        <v>0.9084464471331184</v>
      </c>
      <c r="AF58" s="316">
        <f t="shared" si="55"/>
        <v>0.88839419515627838</v>
      </c>
      <c r="AG58" s="316">
        <f t="shared" si="56"/>
        <v>2.0052251976840019E-2</v>
      </c>
      <c r="AH58" s="316">
        <f t="shared" si="57"/>
        <v>9.1553552866881605E-2</v>
      </c>
      <c r="AI58" s="316">
        <f t="shared" si="58"/>
        <v>0.11160580484372162</v>
      </c>
      <c r="AJ58" s="294">
        <f t="shared" si="59"/>
        <v>-0.4</v>
      </c>
      <c r="AK58" s="294">
        <f t="shared" si="60"/>
        <v>1.6</v>
      </c>
      <c r="AL58" s="294">
        <f t="shared" si="61"/>
        <v>0.6</v>
      </c>
      <c r="AM58" s="313">
        <f t="shared" si="62"/>
        <v>0.6</v>
      </c>
      <c r="AP58" s="314">
        <f t="shared" si="63"/>
        <v>0.98593787064571814</v>
      </c>
      <c r="AQ58" s="294">
        <f t="shared" si="64"/>
        <v>0.63942483538308259</v>
      </c>
      <c r="AR58" s="315">
        <f t="shared" si="65"/>
        <v>0.91839051540205863</v>
      </c>
      <c r="AS58" s="315">
        <f t="shared" si="66"/>
        <v>0.81707739334291041</v>
      </c>
      <c r="AT58" s="316">
        <f t="shared" si="67"/>
        <v>0.73546790874496892</v>
      </c>
      <c r="AU58" s="316">
        <f t="shared" si="68"/>
        <v>8.1609484597941373E-2</v>
      </c>
      <c r="AV58" s="316">
        <f t="shared" si="68"/>
        <v>0.18292260665708959</v>
      </c>
      <c r="AW58" s="338">
        <f t="shared" si="68"/>
        <v>0.26453209125503108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0.65989340439706856</v>
      </c>
      <c r="AB59" s="294">
        <f t="shared" si="51"/>
        <v>1.5789881190997708</v>
      </c>
      <c r="AC59" s="294">
        <f t="shared" si="52"/>
        <v>0.81380457829422836</v>
      </c>
      <c r="AD59" s="315">
        <f t="shared" si="53"/>
        <v>0.98722639868607887</v>
      </c>
      <c r="AE59" s="315">
        <f t="shared" si="54"/>
        <v>0.87511196807972536</v>
      </c>
      <c r="AF59" s="316">
        <f t="shared" si="55"/>
        <v>0.86233836676580422</v>
      </c>
      <c r="AG59" s="316">
        <f t="shared" si="56"/>
        <v>1.2773601313921135E-2</v>
      </c>
      <c r="AH59" s="316">
        <f t="shared" si="57"/>
        <v>0.12488803192027464</v>
      </c>
      <c r="AI59" s="316">
        <f t="shared" si="58"/>
        <v>0.13766163323419578</v>
      </c>
      <c r="AJ59" s="294">
        <f t="shared" si="59"/>
        <v>-0.35</v>
      </c>
      <c r="AK59" s="294">
        <f t="shared" si="60"/>
        <v>1.65</v>
      </c>
      <c r="AL59" s="294">
        <f t="shared" si="61"/>
        <v>0.65</v>
      </c>
      <c r="AM59" s="313">
        <f t="shared" si="62"/>
        <v>0.65</v>
      </c>
      <c r="AP59" s="314">
        <f t="shared" si="63"/>
        <v>1.0725661294613771</v>
      </c>
      <c r="AQ59" s="294">
        <f t="shared" si="64"/>
        <v>0.55279657656742376</v>
      </c>
      <c r="AR59" s="315">
        <f t="shared" si="65"/>
        <v>0.93534615015227529</v>
      </c>
      <c r="AS59" s="315">
        <f t="shared" si="66"/>
        <v>0.78282583262352545</v>
      </c>
      <c r="AT59" s="316">
        <f t="shared" si="67"/>
        <v>0.71817198277580063</v>
      </c>
      <c r="AU59" s="316">
        <f t="shared" si="68"/>
        <v>6.4653849847724709E-2</v>
      </c>
      <c r="AV59" s="316">
        <f t="shared" si="68"/>
        <v>0.21717416737647455</v>
      </c>
      <c r="AW59" s="338">
        <f t="shared" si="68"/>
        <v>0.28182801722419937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0.71319120586275819</v>
      </c>
      <c r="AB60" s="294">
        <f t="shared" si="51"/>
        <v>1.7065187092340279</v>
      </c>
      <c r="AC60" s="294">
        <f t="shared" si="52"/>
        <v>0.68627398815997098</v>
      </c>
      <c r="AD60" s="315">
        <f t="shared" si="53"/>
        <v>0.99209737551562327</v>
      </c>
      <c r="AE60" s="315">
        <f t="shared" si="54"/>
        <v>0.83411079883302985</v>
      </c>
      <c r="AF60" s="316">
        <f t="shared" si="55"/>
        <v>0.82620817434865312</v>
      </c>
      <c r="AG60" s="316">
        <f t="shared" si="56"/>
        <v>7.9026244843767302E-3</v>
      </c>
      <c r="AH60" s="316">
        <f t="shared" si="57"/>
        <v>0.16588920116697015</v>
      </c>
      <c r="AI60" s="316">
        <f t="shared" si="58"/>
        <v>0.17379182565134688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0.70000000000000007</v>
      </c>
      <c r="AM60" s="313">
        <f t="shared" si="62"/>
        <v>0.70000000000000007</v>
      </c>
      <c r="AP60" s="314">
        <f t="shared" si="63"/>
        <v>1.1591943882770361</v>
      </c>
      <c r="AQ60" s="294">
        <f t="shared" si="64"/>
        <v>0.46616831775176465</v>
      </c>
      <c r="AR60" s="315">
        <f t="shared" si="65"/>
        <v>0.94942964190918422</v>
      </c>
      <c r="AS60" s="315">
        <f t="shared" si="66"/>
        <v>0.74513608807260256</v>
      </c>
      <c r="AT60" s="316">
        <f t="shared" si="67"/>
        <v>0.69456572998178689</v>
      </c>
      <c r="AU60" s="316">
        <f t="shared" si="68"/>
        <v>5.0570358090815781E-2</v>
      </c>
      <c r="AV60" s="316">
        <f t="shared" si="68"/>
        <v>0.25486391192739744</v>
      </c>
      <c r="AW60" s="338">
        <f t="shared" si="68"/>
        <v>0.30543427001821311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0.76648900732844782</v>
      </c>
      <c r="AB61" s="294">
        <f t="shared" si="51"/>
        <v>1.8340492993682853</v>
      </c>
      <c r="AC61" s="294">
        <f t="shared" si="52"/>
        <v>0.5587433980257136</v>
      </c>
      <c r="AD61" s="315">
        <f t="shared" si="53"/>
        <v>0.99525305142426612</v>
      </c>
      <c r="AE61" s="315">
        <f t="shared" si="54"/>
        <v>0.78528940016607629</v>
      </c>
      <c r="AF61" s="316">
        <f t="shared" si="55"/>
        <v>0.78054245159034252</v>
      </c>
      <c r="AG61" s="316">
        <f t="shared" si="56"/>
        <v>4.7469485757338781E-3</v>
      </c>
      <c r="AH61" s="316">
        <f t="shared" si="57"/>
        <v>0.21471059983392371</v>
      </c>
      <c r="AI61" s="316">
        <f t="shared" si="58"/>
        <v>0.21945754840965748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0.75000000000000011</v>
      </c>
      <c r="AM61" s="313">
        <f t="shared" si="62"/>
        <v>0.75000000000000011</v>
      </c>
      <c r="AP61" s="314">
        <f t="shared" si="63"/>
        <v>1.2458226470926954</v>
      </c>
      <c r="AQ61" s="294">
        <f t="shared" si="64"/>
        <v>0.37954005893610548</v>
      </c>
      <c r="AR61" s="315">
        <f t="shared" si="65"/>
        <v>0.96095346232224688</v>
      </c>
      <c r="AS61" s="315">
        <f t="shared" si="66"/>
        <v>0.70428008468634407</v>
      </c>
      <c r="AT61" s="316">
        <f t="shared" si="67"/>
        <v>0.66523354700859105</v>
      </c>
      <c r="AU61" s="316">
        <f t="shared" si="68"/>
        <v>3.9046537677753124E-2</v>
      </c>
      <c r="AV61" s="316">
        <f t="shared" si="68"/>
        <v>0.29571991531365593</v>
      </c>
      <c r="AW61" s="338">
        <f t="shared" si="68"/>
        <v>0.33476645299140895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0.81978680879413734</v>
      </c>
      <c r="AB62" s="294">
        <f t="shared" si="51"/>
        <v>1.9615798895025423</v>
      </c>
      <c r="AC62" s="294">
        <f t="shared" si="52"/>
        <v>0.43121280789145655</v>
      </c>
      <c r="AD62" s="315">
        <f t="shared" si="53"/>
        <v>0.99723220645495592</v>
      </c>
      <c r="AE62" s="315">
        <f t="shared" si="54"/>
        <v>0.72901179344794187</v>
      </c>
      <c r="AF62" s="316">
        <f t="shared" si="55"/>
        <v>0.72624399990289779</v>
      </c>
      <c r="AG62" s="316">
        <f t="shared" si="56"/>
        <v>2.7677935450440838E-3</v>
      </c>
      <c r="AH62" s="316">
        <f t="shared" si="57"/>
        <v>0.27098820655205813</v>
      </c>
      <c r="AI62" s="316">
        <f t="shared" si="58"/>
        <v>0.27375600009710221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0.80000000000000016</v>
      </c>
      <c r="AM62" s="313">
        <f t="shared" si="62"/>
        <v>0.80000000000000016</v>
      </c>
      <c r="AP62" s="314">
        <f t="shared" si="63"/>
        <v>1.3324509059083542</v>
      </c>
      <c r="AQ62" s="294">
        <f t="shared" si="64"/>
        <v>0.2929118001204466</v>
      </c>
      <c r="AR62" s="315">
        <f t="shared" si="65"/>
        <v>0.97024253719226605</v>
      </c>
      <c r="AS62" s="315">
        <f t="shared" si="66"/>
        <v>0.66065076639640508</v>
      </c>
      <c r="AT62" s="316">
        <f t="shared" si="67"/>
        <v>0.63089330358867102</v>
      </c>
      <c r="AU62" s="316">
        <f t="shared" si="68"/>
        <v>2.9757462807733948E-2</v>
      </c>
      <c r="AV62" s="316">
        <f t="shared" si="68"/>
        <v>0.33934923360359492</v>
      </c>
      <c r="AW62" s="338">
        <f t="shared" si="68"/>
        <v>0.36910669641132898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0.87308461025982687</v>
      </c>
      <c r="AB63" s="294">
        <f t="shared" si="51"/>
        <v>2.0891104796367994</v>
      </c>
      <c r="AC63" s="294">
        <f t="shared" si="52"/>
        <v>0.30368221775719956</v>
      </c>
      <c r="AD63" s="315">
        <f t="shared" si="53"/>
        <v>0.9984338572204452</v>
      </c>
      <c r="AE63" s="315">
        <f t="shared" si="54"/>
        <v>0.6662099389353926</v>
      </c>
      <c r="AF63" s="316">
        <f t="shared" si="55"/>
        <v>0.6646437961558378</v>
      </c>
      <c r="AG63" s="316">
        <f t="shared" si="56"/>
        <v>1.5661427795548022E-3</v>
      </c>
      <c r="AH63" s="316">
        <f t="shared" si="57"/>
        <v>0.3337900610646074</v>
      </c>
      <c r="AI63" s="316">
        <f t="shared" si="58"/>
        <v>0.3353562038441622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0.8500000000000002</v>
      </c>
      <c r="AM63" s="313">
        <f t="shared" si="62"/>
        <v>0.8500000000000002</v>
      </c>
      <c r="AP63" s="314">
        <f t="shared" si="63"/>
        <v>1.4190791647240131</v>
      </c>
      <c r="AQ63" s="294">
        <f t="shared" si="64"/>
        <v>0.20628354130478771</v>
      </c>
      <c r="AR63" s="315">
        <f t="shared" si="65"/>
        <v>0.97761883234890345</v>
      </c>
      <c r="AS63" s="315">
        <f t="shared" si="66"/>
        <v>0.61475307582631289</v>
      </c>
      <c r="AT63" s="316">
        <f t="shared" si="67"/>
        <v>0.59237190817521634</v>
      </c>
      <c r="AU63" s="316">
        <f t="shared" si="68"/>
        <v>2.2381167651096545E-2</v>
      </c>
      <c r="AV63" s="316">
        <f t="shared" si="68"/>
        <v>0.38524692417368711</v>
      </c>
      <c r="AW63" s="338">
        <f t="shared" si="68"/>
        <v>0.40762809182478366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0.9263824117255165</v>
      </c>
      <c r="AB64" s="294">
        <f t="shared" si="51"/>
        <v>2.2166410697710566</v>
      </c>
      <c r="AC64" s="294">
        <f t="shared" si="52"/>
        <v>0.1761516276229422</v>
      </c>
      <c r="AD64" s="315">
        <f t="shared" si="53"/>
        <v>0.99914015475778628</v>
      </c>
      <c r="AE64" s="315">
        <f t="shared" si="54"/>
        <v>0.59836448139050946</v>
      </c>
      <c r="AF64" s="316">
        <f t="shared" si="55"/>
        <v>0.59750463614829563</v>
      </c>
      <c r="AG64" s="316">
        <f t="shared" si="56"/>
        <v>8.5984524221371927E-4</v>
      </c>
      <c r="AH64" s="316">
        <f t="shared" si="57"/>
        <v>0.40163551860949054</v>
      </c>
      <c r="AI64" s="316">
        <f t="shared" si="58"/>
        <v>0.40249536385170437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0.90000000000000024</v>
      </c>
      <c r="AM64" s="313">
        <f t="shared" si="62"/>
        <v>0.90000000000000024</v>
      </c>
      <c r="AP64" s="314">
        <f t="shared" si="63"/>
        <v>1.5057074235396721</v>
      </c>
      <c r="AQ64" s="294">
        <f t="shared" si="64"/>
        <v>0.11965528248912863</v>
      </c>
      <c r="AR64" s="315">
        <f t="shared" si="65"/>
        <v>0.98338907329091585</v>
      </c>
      <c r="AS64" s="315">
        <f t="shared" si="66"/>
        <v>0.56718746248927199</v>
      </c>
      <c r="AT64" s="316">
        <f t="shared" si="67"/>
        <v>0.55057653578018773</v>
      </c>
      <c r="AU64" s="316">
        <f t="shared" si="68"/>
        <v>1.6610926709084151E-2</v>
      </c>
      <c r="AV64" s="316">
        <f t="shared" si="68"/>
        <v>0.43281253751072801</v>
      </c>
      <c r="AW64" s="338">
        <f t="shared" si="68"/>
        <v>0.44942346421981227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0.97968021319120613</v>
      </c>
      <c r="AB65" s="294">
        <f t="shared" si="51"/>
        <v>2.3441716599053142</v>
      </c>
      <c r="AC65" s="294">
        <f t="shared" si="52"/>
        <v>4.8621037488684883E-2</v>
      </c>
      <c r="AD65" s="315">
        <f t="shared" si="53"/>
        <v>0.99954204551983339</v>
      </c>
      <c r="AE65" s="315">
        <f t="shared" si="54"/>
        <v>0.52740988215706019</v>
      </c>
      <c r="AF65" s="316">
        <f t="shared" si="55"/>
        <v>0.52695192767689347</v>
      </c>
      <c r="AG65" s="316">
        <f t="shared" si="56"/>
        <v>4.5795448016661133E-4</v>
      </c>
      <c r="AH65" s="316">
        <f t="shared" si="57"/>
        <v>0.47259011784293981</v>
      </c>
      <c r="AI65" s="316">
        <f t="shared" si="58"/>
        <v>0.47304807232310653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0.95000000000000029</v>
      </c>
      <c r="AM65" s="313">
        <f t="shared" si="62"/>
        <v>0.95000000000000029</v>
      </c>
      <c r="AP65" s="314">
        <f t="shared" si="63"/>
        <v>1.5923356823553314</v>
      </c>
      <c r="AQ65" s="294">
        <f t="shared" si="64"/>
        <v>3.302702367346954E-2</v>
      </c>
      <c r="AR65" s="315">
        <f t="shared" si="65"/>
        <v>0.98783578982291553</v>
      </c>
      <c r="AS65" s="315">
        <f t="shared" si="66"/>
        <v>0.51862672990458158</v>
      </c>
      <c r="AT65" s="316">
        <f t="shared" si="67"/>
        <v>0.50646251972749701</v>
      </c>
      <c r="AU65" s="316">
        <f t="shared" si="68"/>
        <v>1.2164210177084467E-2</v>
      </c>
      <c r="AV65" s="316">
        <f t="shared" si="68"/>
        <v>0.48137327009541842</v>
      </c>
      <c r="AW65" s="338">
        <f t="shared" si="68"/>
        <v>0.49353748027250299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1.0329780146568956</v>
      </c>
      <c r="AB66" s="294">
        <f t="shared" si="51"/>
        <v>2.4717022500395709</v>
      </c>
      <c r="AC66" s="294">
        <f t="shared" si="52"/>
        <v>-7.8909552645572173E-2</v>
      </c>
      <c r="AD66" s="315">
        <f t="shared" si="53"/>
        <v>0.99976342593296008</v>
      </c>
      <c r="AE66" s="315">
        <f t="shared" si="54"/>
        <v>0.45557228437677821</v>
      </c>
      <c r="AF66" s="316">
        <f t="shared" si="55"/>
        <v>0.45533571030973841</v>
      </c>
      <c r="AG66" s="316">
        <f t="shared" si="56"/>
        <v>2.3657406703991857E-4</v>
      </c>
      <c r="AH66" s="316">
        <f t="shared" si="57"/>
        <v>0.54442771562322179</v>
      </c>
      <c r="AI66" s="316">
        <f t="shared" si="58"/>
        <v>0.54466428969026159</v>
      </c>
      <c r="AJ66" s="294">
        <f t="shared" si="59"/>
        <v>0</v>
      </c>
      <c r="AK66" s="294">
        <f t="shared" si="60"/>
        <v>2</v>
      </c>
      <c r="AL66" s="294">
        <f t="shared" si="61"/>
        <v>1.0000000000000002</v>
      </c>
      <c r="AM66" s="313">
        <f t="shared" si="62"/>
        <v>1.0000000000000002</v>
      </c>
      <c r="AP66" s="314">
        <f t="shared" si="63"/>
        <v>1.67896394117099</v>
      </c>
      <c r="AQ66" s="294">
        <f t="shared" si="64"/>
        <v>-5.3601235142189368E-2</v>
      </c>
      <c r="AR66" s="315">
        <f t="shared" si="65"/>
        <v>0.99121157478765609</v>
      </c>
      <c r="AS66" s="315">
        <f t="shared" si="66"/>
        <v>0.46978767849819292</v>
      </c>
      <c r="AT66" s="316">
        <f t="shared" si="67"/>
        <v>0.4609992532858489</v>
      </c>
      <c r="AU66" s="316">
        <f t="shared" si="68"/>
        <v>8.7884252123439088E-3</v>
      </c>
      <c r="AV66" s="316">
        <f t="shared" si="68"/>
        <v>0.53021232150180708</v>
      </c>
      <c r="AW66" s="338">
        <f t="shared" si="68"/>
        <v>0.5390007467141511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1.0862758161225852</v>
      </c>
      <c r="AB67" s="294">
        <f t="shared" si="51"/>
        <v>2.5992328401738281</v>
      </c>
      <c r="AC67" s="294">
        <f t="shared" si="52"/>
        <v>-0.20644014277982922</v>
      </c>
      <c r="AD67" s="315">
        <f t="shared" si="53"/>
        <v>0.99988148004799571</v>
      </c>
      <c r="AE67" s="315">
        <f t="shared" si="54"/>
        <v>0.38516225479174371</v>
      </c>
      <c r="AF67" s="316">
        <f t="shared" si="55"/>
        <v>0.3850437348397393</v>
      </c>
      <c r="AG67" s="316">
        <f t="shared" si="56"/>
        <v>1.1851995200429233E-4</v>
      </c>
      <c r="AH67" s="316">
        <f t="shared" si="57"/>
        <v>0.61483774520825629</v>
      </c>
      <c r="AI67" s="316">
        <f t="shared" si="58"/>
        <v>0.6149562651602607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1.0500000000000003</v>
      </c>
      <c r="AM67" s="313">
        <f t="shared" si="62"/>
        <v>1.0500000000000003</v>
      </c>
      <c r="AP67" s="314">
        <f t="shared" si="63"/>
        <v>1.7655921999866491</v>
      </c>
      <c r="AQ67" s="294">
        <f t="shared" si="64"/>
        <v>-0.14022949395784828</v>
      </c>
      <c r="AR67" s="315">
        <f t="shared" si="65"/>
        <v>0.99373621754475305</v>
      </c>
      <c r="AS67" s="315">
        <f t="shared" si="66"/>
        <v>0.42139952251179602</v>
      </c>
      <c r="AT67" s="316">
        <f t="shared" si="67"/>
        <v>0.41513574005654919</v>
      </c>
      <c r="AU67" s="316">
        <f t="shared" si="68"/>
        <v>6.2637824552469468E-3</v>
      </c>
      <c r="AV67" s="316">
        <f t="shared" si="68"/>
        <v>0.57860047748820398</v>
      </c>
      <c r="AW67" s="338">
        <f t="shared" si="68"/>
        <v>0.58486425994345081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1.1395736175882747</v>
      </c>
      <c r="AB68" s="294">
        <f t="shared" si="51"/>
        <v>2.7267634303080848</v>
      </c>
      <c r="AC68" s="294">
        <f t="shared" si="52"/>
        <v>-0.3339707329140863</v>
      </c>
      <c r="AD68" s="315">
        <f t="shared" si="53"/>
        <v>0.99994242444113346</v>
      </c>
      <c r="AE68" s="315">
        <f t="shared" si="54"/>
        <v>0.31835421559328614</v>
      </c>
      <c r="AF68" s="316">
        <f t="shared" si="55"/>
        <v>0.3182966400344196</v>
      </c>
      <c r="AG68" s="316">
        <f t="shared" si="56"/>
        <v>5.7575558866540533E-5</v>
      </c>
      <c r="AH68" s="316">
        <f t="shared" si="57"/>
        <v>0.68164578440671386</v>
      </c>
      <c r="AI68" s="316">
        <f t="shared" si="58"/>
        <v>0.6817033599655804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1.1000000000000003</v>
      </c>
      <c r="AM68" s="313">
        <f t="shared" si="62"/>
        <v>1.1000000000000003</v>
      </c>
      <c r="AP68" s="314">
        <f t="shared" si="63"/>
        <v>1.8522204588023079</v>
      </c>
      <c r="AQ68" s="294">
        <f t="shared" si="64"/>
        <v>-0.2268577527735072</v>
      </c>
      <c r="AR68" s="315">
        <f t="shared" si="65"/>
        <v>0.99559622599448105</v>
      </c>
      <c r="AS68" s="315">
        <f t="shared" si="66"/>
        <v>0.37417138866653521</v>
      </c>
      <c r="AT68" s="316">
        <f t="shared" si="67"/>
        <v>0.36976761466101626</v>
      </c>
      <c r="AU68" s="316">
        <f t="shared" si="68"/>
        <v>4.4037740055189456E-3</v>
      </c>
      <c r="AV68" s="316">
        <f t="shared" si="68"/>
        <v>0.62582861133346479</v>
      </c>
      <c r="AW68" s="338">
        <f t="shared" si="68"/>
        <v>0.63023238533898374</v>
      </c>
    </row>
    <row r="69" spans="1:49" s="74" customFormat="1" x14ac:dyDescent="0.25">
      <c r="R69" s="210"/>
      <c r="T69" s="89"/>
      <c r="U69" s="89"/>
      <c r="X69" s="96"/>
      <c r="Y69" s="317"/>
      <c r="Z69" s="294">
        <f t="shared" si="69"/>
        <v>1.1500000000000004</v>
      </c>
      <c r="AA69" s="294">
        <f t="shared" si="50"/>
        <v>1.1928714190539642</v>
      </c>
      <c r="AB69" s="294">
        <f t="shared" si="51"/>
        <v>2.8542940204423424</v>
      </c>
      <c r="AC69" s="294">
        <f t="shared" si="52"/>
        <v>-0.46150132304834335</v>
      </c>
      <c r="AD69" s="315">
        <f t="shared" si="53"/>
        <v>0.9999728821334215</v>
      </c>
      <c r="AE69" s="315">
        <f t="shared" si="54"/>
        <v>0.25698728652501301</v>
      </c>
      <c r="AF69" s="316">
        <f t="shared" si="55"/>
        <v>0.25696016865843463</v>
      </c>
      <c r="AG69" s="316">
        <f t="shared" si="56"/>
        <v>2.7117866578496574E-5</v>
      </c>
      <c r="AH69" s="316">
        <f t="shared" si="57"/>
        <v>0.74301271347498699</v>
      </c>
      <c r="AI69" s="316">
        <f t="shared" si="58"/>
        <v>0.74303983134156537</v>
      </c>
      <c r="AJ69" s="294">
        <f t="shared" si="59"/>
        <v>0.15000000000000036</v>
      </c>
      <c r="AK69" s="294">
        <f t="shared" si="60"/>
        <v>2.1500000000000004</v>
      </c>
      <c r="AL69" s="294">
        <f t="shared" si="61"/>
        <v>1.1500000000000004</v>
      </c>
      <c r="AM69" s="313">
        <f t="shared" si="62"/>
        <v>1.1500000000000004</v>
      </c>
      <c r="AP69" s="339">
        <f t="shared" si="63"/>
        <v>1.938848717617967</v>
      </c>
      <c r="AQ69" s="319">
        <f t="shared" si="64"/>
        <v>-0.31348601158916606</v>
      </c>
      <c r="AR69" s="320">
        <f t="shared" si="65"/>
        <v>0.99694618233487964</v>
      </c>
      <c r="AS69" s="320">
        <f t="shared" si="66"/>
        <v>0.32876129894870298</v>
      </c>
      <c r="AT69" s="321">
        <f t="shared" si="67"/>
        <v>0.32570748128358273</v>
      </c>
      <c r="AU69" s="321">
        <f t="shared" si="68"/>
        <v>3.0538176651203619E-3</v>
      </c>
      <c r="AV69" s="321">
        <f t="shared" si="68"/>
        <v>0.67123870105129702</v>
      </c>
      <c r="AW69" s="340">
        <f t="shared" si="68"/>
        <v>0.67429251871641727</v>
      </c>
    </row>
    <row r="70" spans="1:49" s="74" customFormat="1" x14ac:dyDescent="0.25">
      <c r="R70" s="210"/>
      <c r="T70" s="89"/>
      <c r="U70" s="89"/>
      <c r="X70" s="96"/>
      <c r="Y70" s="317"/>
      <c r="Z70" s="294">
        <f t="shared" si="69"/>
        <v>1.2000000000000004</v>
      </c>
      <c r="AA70" s="294">
        <f t="shared" si="50"/>
        <v>1.2461692205196537</v>
      </c>
      <c r="AB70" s="294">
        <f t="shared" si="51"/>
        <v>2.9818246105765995</v>
      </c>
      <c r="AC70" s="294">
        <f t="shared" si="52"/>
        <v>-0.5890319131826004</v>
      </c>
      <c r="AD70" s="315">
        <f t="shared" si="53"/>
        <v>0.99998761783305334</v>
      </c>
      <c r="AE70" s="315">
        <f t="shared" si="54"/>
        <v>0.20241759331677478</v>
      </c>
      <c r="AF70" s="316">
        <f t="shared" si="55"/>
        <v>0.20240521114982801</v>
      </c>
      <c r="AG70" s="316">
        <f t="shared" si="56"/>
        <v>1.238216694665617E-5</v>
      </c>
      <c r="AH70" s="316">
        <f t="shared" si="57"/>
        <v>0.79758240668322522</v>
      </c>
      <c r="AI70" s="316">
        <f t="shared" si="58"/>
        <v>0.79759478885017199</v>
      </c>
      <c r="AJ70" s="294">
        <f t="shared" si="59"/>
        <v>0.2000000000000004</v>
      </c>
      <c r="AK70" s="294">
        <f t="shared" si="60"/>
        <v>2.2000000000000002</v>
      </c>
      <c r="AL70" s="294">
        <f t="shared" si="61"/>
        <v>1.2000000000000004</v>
      </c>
      <c r="AM70" s="313">
        <f t="shared" si="62"/>
        <v>1.2000000000000004</v>
      </c>
    </row>
    <row r="71" spans="1:49" s="74" customFormat="1" x14ac:dyDescent="0.25">
      <c r="R71" s="210"/>
      <c r="T71" s="89"/>
      <c r="U71" s="89"/>
      <c r="X71" s="96"/>
      <c r="Y71" s="318"/>
      <c r="Z71" s="319">
        <f t="shared" si="69"/>
        <v>1.2500000000000004</v>
      </c>
      <c r="AA71" s="319">
        <f t="shared" si="50"/>
        <v>1.2994670219853435</v>
      </c>
      <c r="AB71" s="319">
        <f t="shared" si="51"/>
        <v>3.1093552007108567</v>
      </c>
      <c r="AC71" s="319">
        <f t="shared" si="52"/>
        <v>-0.716562503316858</v>
      </c>
      <c r="AD71" s="320">
        <f t="shared" si="53"/>
        <v>0.99999451951540719</v>
      </c>
      <c r="AE71" s="320">
        <f t="shared" si="54"/>
        <v>0.15544115620356025</v>
      </c>
      <c r="AF71" s="321">
        <f t="shared" si="55"/>
        <v>0.15543567571896744</v>
      </c>
      <c r="AG71" s="321">
        <f t="shared" si="56"/>
        <v>5.4804845928124735E-6</v>
      </c>
      <c r="AH71" s="321">
        <f t="shared" si="57"/>
        <v>0.84455884379643975</v>
      </c>
      <c r="AI71" s="321">
        <f t="shared" si="58"/>
        <v>0.84456432428103256</v>
      </c>
      <c r="AJ71" s="319">
        <f t="shared" si="59"/>
        <v>0.25000000000000044</v>
      </c>
      <c r="AK71" s="319">
        <f t="shared" si="60"/>
        <v>2.2500000000000004</v>
      </c>
      <c r="AL71" s="319">
        <f t="shared" si="61"/>
        <v>1.2500000000000004</v>
      </c>
      <c r="AM71" s="322">
        <f t="shared" si="62"/>
        <v>1.2500000000000004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1"/>
  <sheetViews>
    <sheetView topLeftCell="A6" workbookViewId="0">
      <selection activeCell="C24" sqref="C24"/>
    </sheetView>
  </sheetViews>
  <sheetFormatPr defaultRowHeight="12.75" x14ac:dyDescent="0.2"/>
  <cols>
    <col min="2" max="2" width="13.140625" bestFit="1" customWidth="1"/>
  </cols>
  <sheetData>
    <row r="4" spans="2:3" x14ac:dyDescent="0.2">
      <c r="B4" t="s">
        <v>440</v>
      </c>
      <c r="C4">
        <f>'850S2000'!C4</f>
        <v>10312.5</v>
      </c>
    </row>
    <row r="5" spans="2:3" x14ac:dyDescent="0.2">
      <c r="B5" t="s">
        <v>441</v>
      </c>
      <c r="C5" s="490">
        <v>0</v>
      </c>
    </row>
    <row r="6" spans="2:3" x14ac:dyDescent="0.2">
      <c r="B6" t="s">
        <v>442</v>
      </c>
      <c r="C6">
        <f>'850S2000'!L7</f>
        <v>1.5</v>
      </c>
    </row>
    <row r="8" spans="2:3" x14ac:dyDescent="0.2">
      <c r="B8" t="s">
        <v>443</v>
      </c>
      <c r="C8" s="489">
        <f>'850S2000'!L3</f>
        <v>0.3</v>
      </c>
    </row>
    <row r="9" spans="2:3" x14ac:dyDescent="0.2">
      <c r="B9" t="s">
        <v>444</v>
      </c>
      <c r="C9">
        <f>'850S2000'!L4</f>
        <v>0.2</v>
      </c>
    </row>
    <row r="10" spans="2:3" x14ac:dyDescent="0.2">
      <c r="B10" t="s">
        <v>445</v>
      </c>
      <c r="C10">
        <f>'850S2000'!L5</f>
        <v>0.01</v>
      </c>
    </row>
    <row r="13" spans="2:3" x14ac:dyDescent="0.2">
      <c r="B13" t="s">
        <v>446</v>
      </c>
      <c r="C13">
        <f>'850S2000'!G7</f>
        <v>6</v>
      </c>
    </row>
    <row r="14" spans="2:3" x14ac:dyDescent="0.2">
      <c r="B14" t="s">
        <v>447</v>
      </c>
      <c r="C14">
        <f>'850S2000'!G8</f>
        <v>6</v>
      </c>
    </row>
    <row r="17" spans="2:3" x14ac:dyDescent="0.2">
      <c r="B17" t="s">
        <v>448</v>
      </c>
      <c r="C17" s="489">
        <f>'850S2000'!C8</f>
        <v>-3.8</v>
      </c>
    </row>
    <row r="18" spans="2:3" x14ac:dyDescent="0.2">
      <c r="B18" t="s">
        <v>449</v>
      </c>
      <c r="C18" s="489">
        <f>'850S2000'!C9</f>
        <v>3.0034933022749914</v>
      </c>
    </row>
    <row r="19" spans="2:3" x14ac:dyDescent="0.2">
      <c r="B19" t="s">
        <v>450</v>
      </c>
      <c r="C19" s="491">
        <f>'850S2000'!T5</f>
        <v>8250</v>
      </c>
    </row>
    <row r="20" spans="2:3" x14ac:dyDescent="0.2">
      <c r="B20" t="s">
        <v>451</v>
      </c>
      <c r="C20">
        <f>'850S2000'!C6</f>
        <v>840</v>
      </c>
    </row>
    <row r="21" spans="2:3" x14ac:dyDescent="0.2">
      <c r="B21" t="s">
        <v>452</v>
      </c>
      <c r="C21" s="489">
        <f>'850S2000'!C7</f>
        <v>0.28999999999999998</v>
      </c>
    </row>
    <row r="22" spans="2:3" x14ac:dyDescent="0.2">
      <c r="B22" t="s">
        <v>453</v>
      </c>
      <c r="C22">
        <f>'850S2000'!G12</f>
        <v>-12</v>
      </c>
    </row>
    <row r="23" spans="2:3" x14ac:dyDescent="0.2">
      <c r="B23" t="s">
        <v>454</v>
      </c>
      <c r="C23">
        <f>'850S2000'!G4</f>
        <v>-130</v>
      </c>
    </row>
    <row r="24" spans="2:3" x14ac:dyDescent="0.2">
      <c r="B24" t="s">
        <v>455</v>
      </c>
      <c r="C24">
        <f>'850S2000'!AK7</f>
        <v>1</v>
      </c>
    </row>
    <row r="26" spans="2:3" x14ac:dyDescent="0.2">
      <c r="B26" t="s">
        <v>456</v>
      </c>
      <c r="C26">
        <f>'850S2000'!W5</f>
        <v>7500</v>
      </c>
    </row>
    <row r="28" spans="2:3" x14ac:dyDescent="0.2">
      <c r="B28" t="s">
        <v>457</v>
      </c>
      <c r="C28">
        <f>'850S2000'!C12</f>
        <v>0.3</v>
      </c>
    </row>
    <row r="29" spans="2:3" x14ac:dyDescent="0.2">
      <c r="B29" t="s">
        <v>458</v>
      </c>
      <c r="C29">
        <f>'850S2000'!C13</f>
        <v>0.4</v>
      </c>
    </row>
    <row r="30" spans="2:3" x14ac:dyDescent="0.2">
      <c r="B30" t="s">
        <v>459</v>
      </c>
      <c r="C30">
        <f>'850S2000'!C14</f>
        <v>0.25</v>
      </c>
    </row>
    <row r="33" spans="2:3" x14ac:dyDescent="0.2">
      <c r="B33" t="s">
        <v>460</v>
      </c>
      <c r="C33" s="489">
        <f>'850S2000'!T3</f>
        <v>-11.1</v>
      </c>
    </row>
    <row r="34" spans="2:3" x14ac:dyDescent="0.2">
      <c r="B34" t="s">
        <v>461</v>
      </c>
      <c r="C34" s="491">
        <f>'850S2000'!T5</f>
        <v>8250</v>
      </c>
    </row>
    <row r="35" spans="2:3" x14ac:dyDescent="0.2">
      <c r="B35" t="s">
        <v>462</v>
      </c>
      <c r="C35">
        <f>'850S2000'!T4</f>
        <v>-12</v>
      </c>
    </row>
    <row r="38" spans="2:3" x14ac:dyDescent="0.2">
      <c r="B38" t="s">
        <v>463</v>
      </c>
      <c r="C38" s="489">
        <f>'850S2000'!P4</f>
        <v>1</v>
      </c>
    </row>
    <row r="39" spans="2:3" x14ac:dyDescent="0.2">
      <c r="B39" t="s">
        <v>464</v>
      </c>
      <c r="C39">
        <f>'850S2000'!P8</f>
        <v>0.11</v>
      </c>
    </row>
    <row r="40" spans="2:3" x14ac:dyDescent="0.2">
      <c r="B40" t="s">
        <v>465</v>
      </c>
      <c r="C40">
        <f>'850S2000'!Uo</f>
        <v>1320</v>
      </c>
    </row>
    <row r="41" spans="2:3" x14ac:dyDescent="0.2">
      <c r="B41" t="s">
        <v>466</v>
      </c>
      <c r="C41">
        <f>'850S2000'!P12</f>
        <v>2000</v>
      </c>
    </row>
    <row r="44" spans="2:3" x14ac:dyDescent="0.2">
      <c r="B44" t="s">
        <v>467</v>
      </c>
      <c r="C44">
        <f>'850S2000'!Pmn</f>
        <v>0.3</v>
      </c>
    </row>
    <row r="45" spans="2:3" x14ac:dyDescent="0.2">
      <c r="B45" t="s">
        <v>468</v>
      </c>
      <c r="C45">
        <f>'850S2000'!L10</f>
        <v>0</v>
      </c>
    </row>
    <row r="46" spans="2:3" x14ac:dyDescent="0.2">
      <c r="B46" t="s">
        <v>469</v>
      </c>
      <c r="C46">
        <f>'850S2000'!G10</f>
        <v>0.3</v>
      </c>
    </row>
    <row r="47" spans="2:3" x14ac:dyDescent="0.2">
      <c r="B47" t="s">
        <v>470</v>
      </c>
      <c r="C47">
        <f>'850S2000'!SD_blw</f>
        <v>2.5000000000000001E-2</v>
      </c>
    </row>
    <row r="49" spans="2:3" x14ac:dyDescent="0.2">
      <c r="B49" t="s">
        <v>471</v>
      </c>
      <c r="C49">
        <f>'850S2000'!$Z$41</f>
        <v>-0.25</v>
      </c>
    </row>
    <row r="50" spans="2:3" x14ac:dyDescent="0.2">
      <c r="B50" t="s">
        <v>472</v>
      </c>
      <c r="C50">
        <f>'850S2000'!$Z$71</f>
        <v>1.2500000000000004</v>
      </c>
    </row>
    <row r="51" spans="2:3" x14ac:dyDescent="0.2">
      <c r="B51" t="s">
        <v>473</v>
      </c>
      <c r="C51">
        <f>'850S2000'!$Y$42</f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7" t="str">
        <f>Notes!A1</f>
        <v>10GEPBud3_1_16a.xls</v>
      </c>
      <c r="S1" s="488"/>
      <c r="T1" s="488"/>
      <c r="U1" s="488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1.5288442430979325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2" t="s">
        <v>293</v>
      </c>
      <c r="K2" s="482"/>
      <c r="L2" s="483" t="s">
        <v>390</v>
      </c>
      <c r="M2" s="484"/>
      <c r="N2" s="144"/>
      <c r="O2" s="6" t="s">
        <v>139</v>
      </c>
      <c r="P2" s="152">
        <v>1.5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0.88263172797406431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0.3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-14.25</v>
      </c>
      <c r="U3" s="390" t="s">
        <v>117</v>
      </c>
      <c r="V3" s="172" t="s">
        <v>33</v>
      </c>
      <c r="W3" s="173">
        <f>AO39</f>
        <v>0.16924089957555832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0.7574435476749044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0.2</v>
      </c>
      <c r="M4" s="126" t="s">
        <v>9</v>
      </c>
      <c r="N4" s="121"/>
      <c r="O4" s="122" t="s">
        <v>18</v>
      </c>
      <c r="P4" s="414">
        <f>IF(Uc&gt;1000,$P$2/1.5,$P$2/3.5)</f>
        <v>1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0.3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0.7574435476749044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0.01</v>
      </c>
      <c r="M5" s="136" t="s">
        <v>9</v>
      </c>
      <c r="N5" s="121"/>
      <c r="O5" s="117" t="s">
        <v>139</v>
      </c>
      <c r="P5" s="16">
        <f>$P$4*((1/(0.00094*Uc)^4)+1.05)</f>
        <v>1.5439034925663899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334" t="s">
        <v>273</v>
      </c>
      <c r="W5" s="357">
        <v>2344</v>
      </c>
      <c r="X5" s="335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2.3755076376975946E-3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1365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2.6057765405677813E-3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-9.9931671193007521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229.97048230544689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1.7810247368048084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0.49283746789376243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(not in use)</v>
      </c>
      <c r="P11" s="115">
        <v>10</v>
      </c>
      <c r="Q11" s="175" t="str">
        <f>IF(L2="SMF","ps at target "&amp;L3&amp;M3,"")</f>
        <v/>
      </c>
      <c r="R11" s="157"/>
      <c r="S11" s="7"/>
      <c r="T11" s="154"/>
      <c r="U11" s="160"/>
      <c r="V11" s="464" t="s">
        <v>367</v>
      </c>
      <c r="W11" s="271">
        <f>-10*LOG10(ERF(AQ39)+ERF(AR39) - 1)</f>
        <v>4.1275256792407831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0.63045123426718885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13">
        <v>500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0.6156114615546695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411">
        <v>0.3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500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3.0878069851327798E-3</v>
      </c>
      <c r="C17" s="44">
        <f t="shared" ref="C17:C38" si="1">$L$7+B17</f>
        <v>2.0030878069851328</v>
      </c>
      <c r="D17" s="177">
        <f t="shared" ref="D17:D38" si="2">A17*$P$9</f>
        <v>-1.9986334238601505E-2</v>
      </c>
      <c r="E17" s="44">
        <f t="shared" ref="E17:E38" si="3">A17*$AB$4</f>
        <v>8.0723999999999995E-5</v>
      </c>
      <c r="F17" s="130">
        <f t="shared" ref="F17:F38" si="4">(0.187/$C$7)*10^6/(SQRT(D17^2+E17^2))</f>
        <v>15090833.542559607</v>
      </c>
      <c r="G17" s="45">
        <f t="shared" ref="G17:G38" si="5">$P$13/A17</f>
        <v>250000</v>
      </c>
      <c r="H17" s="46">
        <f t="shared" ref="H17:H38" si="6">SQRT((1000*C_1/F17)^2+(1000*C_1/G17)^2+$G$3^2)</f>
        <v>182.17012107288599</v>
      </c>
      <c r="I17" s="46">
        <f t="shared" ref="I17:I38" si="7">SQRT(H17^2+$T$7^2)</f>
        <v>223.23084961471358</v>
      </c>
      <c r="J17" s="424">
        <f t="shared" ref="J17:J38" si="8">-10*LOG10(2*Z17 - 1)</f>
        <v>0.74664266883788377</v>
      </c>
      <c r="K17" s="251">
        <f t="shared" ref="K17:K38" si="9">-10*LOG10(AB17)-J17</f>
        <v>0.21390356614233463</v>
      </c>
      <c r="L17" s="265">
        <f t="shared" ref="L17:L38" si="10">-10*LOG10(AD17)-J17</f>
        <v>0.35694481930327426</v>
      </c>
      <c r="M17" s="266">
        <f t="shared" ref="M17:M38" si="11">-10*LOG10(AC17)-J17-K17</f>
        <v>1.0310198137757833</v>
      </c>
      <c r="N17" s="267"/>
      <c r="O17" s="130">
        <f t="shared" ref="O17:O38" si="12">(10^-6)*3.14*$L$11*D17*$C$7</f>
        <v>-1.2715488724088041E-4</v>
      </c>
      <c r="P17" s="44">
        <f t="shared" ref="P17:P38" si="13">($G$10/SQRT(2))*(1-EXP(-1*O17^2))</f>
        <v>3.429828202561439E-9</v>
      </c>
      <c r="Q17" s="44">
        <f t="shared" ref="Q17:Q38" si="14">10*LOG10(1/SQRT(1-(Q*P17)^2))</f>
        <v>9.6432746655328694E-16</v>
      </c>
      <c r="R17" s="265"/>
      <c r="S17" s="44">
        <f>-10*LOG10(SQRT(1-Q*Q*(((SD_blw/AC17)^2)+AK17+Vmn+(P17*P17))))-$T$13-Q17-R17-Pmn</f>
        <v>7.7715611723760958E-16</v>
      </c>
      <c r="T17" s="209">
        <f>J17+L17+B17+Q17+S17+Pmn</f>
        <v>1.4066752951262924</v>
      </c>
      <c r="U17" s="277">
        <f>J17+K17+B17+Q17+S17+Pmn+M17</f>
        <v>2.294653855741136</v>
      </c>
      <c r="V17" s="178">
        <f t="shared" ref="V17:V38" si="15">T17-B17</f>
        <v>1.4035874881411596</v>
      </c>
      <c r="W17" s="179">
        <f t="shared" ref="W17:W38" si="16">$L$8-T17</f>
        <v>4.5933247048737078</v>
      </c>
      <c r="X17" s="455">
        <f t="shared" ref="X17:X38" si="17">$C$8-C17-(Q17+N17+R17+S17/2+Pmn) -$W$3</f>
        <v>-8.7223287065606918</v>
      </c>
      <c r="Y17" s="47">
        <f t="shared" ref="Y17:Y38" si="18">B_1*Tb_eff/(SQRT(8)*I17)</f>
        <v>1.2421407997429188</v>
      </c>
      <c r="Z17" s="49">
        <f t="shared" ref="Z17:Z38" si="19">IF(ABS(Y17)&lt;10,SIGN(Y17)*ERF(ABS(Y17)),SIGN(Y17))</f>
        <v>0.92102291853085982</v>
      </c>
      <c r="AA17" s="395">
        <f>$AD17</f>
        <v>0.77560616271931804</v>
      </c>
      <c r="AB17" s="43">
        <f t="shared" ref="AB17:AB38" si="20">ERF(AE17)+ERF(AF17)-1</f>
        <v>0.80157723846778817</v>
      </c>
      <c r="AC17" s="47">
        <f t="shared" ref="AC17:AC38" si="21">ERF(AG17)+ERF(AH17)-1</f>
        <v>0.63218384727050614</v>
      </c>
      <c r="AD17" s="47">
        <f t="shared" ref="AD17:AD38" si="22">ERF(AI17)+ERF(AJ17)-1</f>
        <v>0.77560616271931804</v>
      </c>
      <c r="AE17" s="50">
        <f t="shared" ref="AE17:AE38" si="23">MAX(MIN(B_1*Tb_eff*($L$13+1)/(SQRT(8)*$I17),10),-10)</f>
        <v>1.5019349539375162</v>
      </c>
      <c r="AF17" s="50">
        <f t="shared" ref="AF17:AF38" si="24">MAX(MIN(B_1*Tb_eff*(1-$L$13)/(SQRT(8)*$I17),10),-10)</f>
        <v>0.98234664554832152</v>
      </c>
      <c r="AG17" s="50">
        <f t="shared" ref="AG17:AG38" si="25">MAX(MIN(B_1*Tb_eff*($L$13+$G$9+1)/(SQRT(8)*$I17),10),-10)</f>
        <v>1.8347962139993439</v>
      </c>
      <c r="AH17" s="50">
        <f t="shared" ref="AH17:AH38" si="26">MAX(MIN(B_1*Tb_eff*(1-$L$13-$G$9)/(SQRT(8)*$I17),10),-10)</f>
        <v>0.64948538548649359</v>
      </c>
      <c r="AI17" s="50">
        <f t="shared" ref="AI17:AI38" si="27">MAX(MIN(B_1*Tb_eff*($G$9+1)/(SQRT(8)*$I17),10),-10)</f>
        <v>1.5750020598047467</v>
      </c>
      <c r="AJ17" s="50">
        <f t="shared" ref="AJ17:AJ38" si="28">MAX(MIN(B_1*Tb_eff*(1-$G$9)/(SQRT(8)*$I17),10),-10)</f>
        <v>0.90927953968109099</v>
      </c>
      <c r="AK17" s="305"/>
      <c r="AL17" s="48">
        <f t="shared" ref="AL17:AL38" si="29">$L$6-$L$7</f>
        <v>6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0.2</v>
      </c>
      <c r="B18" s="52">
        <f t="shared" si="0"/>
        <v>0.308780698513278</v>
      </c>
      <c r="C18" s="52">
        <f t="shared" si="1"/>
        <v>2.3087806985132779</v>
      </c>
      <c r="D18" s="180">
        <f t="shared" si="2"/>
        <v>-1.9986334238601504</v>
      </c>
      <c r="E18" s="52">
        <f t="shared" si="3"/>
        <v>8.0723999999999987E-3</v>
      </c>
      <c r="F18" s="53">
        <f t="shared" si="4"/>
        <v>150908.33542559607</v>
      </c>
      <c r="G18" s="53">
        <f t="shared" si="5"/>
        <v>2500</v>
      </c>
      <c r="H18" s="54">
        <f t="shared" si="6"/>
        <v>264.68166294514896</v>
      </c>
      <c r="I18" s="54">
        <f t="shared" si="7"/>
        <v>294.45278383368424</v>
      </c>
      <c r="J18" s="425">
        <f t="shared" si="8"/>
        <v>1.9782947065742214</v>
      </c>
      <c r="K18" s="252">
        <f t="shared" si="9"/>
        <v>0.23711866783783675</v>
      </c>
      <c r="L18" s="268">
        <f t="shared" si="10"/>
        <v>0.39424641861678911</v>
      </c>
      <c r="M18" s="269">
        <f t="shared" si="11"/>
        <v>1.1135909792611018</v>
      </c>
      <c r="N18" s="270">
        <f t="shared" ref="N18:N38" si="30">-10*LOG10(1-2*$L$10*10^(-$C18/10)*$AB$5*SQRT(2*ER*($AD18*(ER-1)+ER+1))/($AD18*(ER-1)))</f>
        <v>0</v>
      </c>
      <c r="O18" s="52">
        <f t="shared" si="12"/>
        <v>-1.271548872408804E-2</v>
      </c>
      <c r="P18" s="52">
        <f t="shared" si="13"/>
        <v>3.4295509751073711E-5</v>
      </c>
      <c r="Q18" s="52">
        <f t="shared" si="14"/>
        <v>1.264747865014859E-7</v>
      </c>
      <c r="R18" s="268">
        <f t="shared" ref="R18:R38" si="31">10*LOG10(1/SQRT(1-AK18*(Q/AA18)^2))</f>
        <v>0.52277412665741541</v>
      </c>
      <c r="S18" s="52">
        <f t="shared" ref="S18:S38" si="32">-10*LOG10(AA18*SQRT(1-Q*Q*((SD_blw^2+AK18)/AA18^2+Vmn+(P18*P18))))-$T$13-J18-L18-Q18-N18-R18-Pmn</f>
        <v>8.9384069669472155E-2</v>
      </c>
      <c r="T18" s="282">
        <f t="shared" ref="T18:T38" si="33">J18+L18+B18+Q18+N18+R18+S18+Pmn</f>
        <v>3.5934801465059625</v>
      </c>
      <c r="U18" s="278">
        <f t="shared" ref="U18:U38" si="34">J18+K18+B18+Q18+N18+R18+S18+Pmn+M18</f>
        <v>4.5499433749881124</v>
      </c>
      <c r="V18" s="181">
        <f t="shared" si="15"/>
        <v>3.2846994479926845</v>
      </c>
      <c r="W18" s="182">
        <f t="shared" si="16"/>
        <v>2.4065198534940375</v>
      </c>
      <c r="X18" s="456">
        <f t="shared" si="17"/>
        <v>-9.5954878860557749</v>
      </c>
      <c r="Y18" s="59">
        <f t="shared" si="18"/>
        <v>0.94169307030335281</v>
      </c>
      <c r="Z18" s="60">
        <f t="shared" si="19"/>
        <v>0.8170593271728962</v>
      </c>
      <c r="AA18" s="300">
        <f t="shared" ref="AA18:AA38" si="35">$AD18*(1-2*$L$10*10^(-$C18/10)*$AB$5*SQRT(2*ER*($AD18*(ER-1)+ER+1))/($AD18*(ER-1)))</f>
        <v>0.57908976276785573</v>
      </c>
      <c r="AB18" s="56">
        <f t="shared" si="20"/>
        <v>0.60042485596299899</v>
      </c>
      <c r="AC18" s="55">
        <f t="shared" si="21"/>
        <v>0.46462178036281232</v>
      </c>
      <c r="AD18" s="55">
        <f t="shared" si="22"/>
        <v>0.57908976276785573</v>
      </c>
      <c r="AE18" s="61">
        <f t="shared" si="23"/>
        <v>1.1386484837001323</v>
      </c>
      <c r="AF18" s="61">
        <f t="shared" si="24"/>
        <v>0.74473765690657323</v>
      </c>
      <c r="AG18" s="61">
        <f t="shared" si="25"/>
        <v>1.3909976071147563</v>
      </c>
      <c r="AH18" s="61">
        <f t="shared" si="26"/>
        <v>0.49238853349194928</v>
      </c>
      <c r="AI18" s="61">
        <f t="shared" si="27"/>
        <v>1.1940421937179766</v>
      </c>
      <c r="AJ18" s="61">
        <f t="shared" si="28"/>
        <v>0.68934394688872891</v>
      </c>
      <c r="AK18" s="306">
        <f t="shared" ref="AK18:AK38" si="36">kRIN*10^6*$AK$7*$AK$7/(SQRT((1/F18)^2+(1/G18)^2+0.477*(1/$T$5)^2))*10^($G$4/10)</f>
        <v>1.4489297296062735E-3</v>
      </c>
      <c r="AL18" s="57">
        <f t="shared" si="29"/>
        <v>6</v>
      </c>
      <c r="AM18" s="190">
        <f t="shared" ref="AM18:AM38" si="37">$L$3</f>
        <v>0.3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 t="shared" ref="AQ18:AQ27" si="40">IF($A18=$L$3,B_1*Tb_eff/(SQRT(8)*H18),0)</f>
        <v>0</v>
      </c>
      <c r="AR18" s="351">
        <f t="shared" ref="AR18:AR38" si="41">IF($A18=$L$3,B_1*Tb_eff*(1-$G$9)/(SQRT(8)*SQRT($H18^2+$AG$8^2)),0)</f>
        <v>0</v>
      </c>
    </row>
    <row r="19" spans="1:44" s="74" customFormat="1" ht="15" customHeight="1" x14ac:dyDescent="0.2">
      <c r="A19" s="63">
        <f t="shared" ref="A19:A38" si="42">A18+$L$5</f>
        <v>0.21000000000000002</v>
      </c>
      <c r="B19" s="64">
        <f t="shared" si="0"/>
        <v>0.32421973343894189</v>
      </c>
      <c r="C19" s="64">
        <f t="shared" si="1"/>
        <v>2.3242197334389418</v>
      </c>
      <c r="D19" s="183">
        <f t="shared" si="2"/>
        <v>-2.098565095053158</v>
      </c>
      <c r="E19" s="64">
        <f t="shared" si="3"/>
        <v>8.476019999999999E-3</v>
      </c>
      <c r="F19" s="65">
        <f t="shared" si="4"/>
        <v>143722.2242148534</v>
      </c>
      <c r="G19" s="65">
        <f t="shared" si="5"/>
        <v>2380.9523809523807</v>
      </c>
      <c r="H19" s="66">
        <f t="shared" si="6"/>
        <v>271.72776763168491</v>
      </c>
      <c r="I19" s="66">
        <f t="shared" si="7"/>
        <v>300.80232530699607</v>
      </c>
      <c r="J19" s="426">
        <f t="shared" si="8"/>
        <v>2.1092036542633741</v>
      </c>
      <c r="K19" s="253">
        <f t="shared" si="9"/>
        <v>0.23786552604603317</v>
      </c>
      <c r="L19" s="271">
        <f t="shared" si="10"/>
        <v>0.39548126555494267</v>
      </c>
      <c r="M19" s="272">
        <f t="shared" si="11"/>
        <v>1.1170744481367172</v>
      </c>
      <c r="N19" s="256">
        <f t="shared" si="30"/>
        <v>0</v>
      </c>
      <c r="O19" s="64">
        <f t="shared" si="12"/>
        <v>-1.3351263160292445E-2</v>
      </c>
      <c r="P19" s="64">
        <f t="shared" si="13"/>
        <v>3.7810486199603919E-5</v>
      </c>
      <c r="Q19" s="64">
        <f t="shared" si="14"/>
        <v>1.5372834714928307E-7</v>
      </c>
      <c r="R19" s="271">
        <f t="shared" si="31"/>
        <v>0.53894496766556543</v>
      </c>
      <c r="S19" s="64">
        <f t="shared" si="32"/>
        <v>9.2574254111480625E-2</v>
      </c>
      <c r="T19" s="344">
        <f t="shared" si="33"/>
        <v>3.7604240287626514</v>
      </c>
      <c r="U19" s="279">
        <f t="shared" si="34"/>
        <v>4.719882737390459</v>
      </c>
      <c r="V19" s="168">
        <f t="shared" si="15"/>
        <v>3.4362042953237095</v>
      </c>
      <c r="W19" s="184">
        <f t="shared" si="16"/>
        <v>2.2395759712373486</v>
      </c>
      <c r="X19" s="457">
        <f t="shared" si="17"/>
        <v>-9.6286928814641506</v>
      </c>
      <c r="Y19" s="72">
        <f t="shared" si="18"/>
        <v>0.92181516809990727</v>
      </c>
      <c r="Z19" s="73">
        <f t="shared" si="19"/>
        <v>0.8076448425974454</v>
      </c>
      <c r="AA19" s="301">
        <f t="shared" si="35"/>
        <v>0.56173503069367259</v>
      </c>
      <c r="AB19" s="69">
        <f t="shared" si="20"/>
        <v>0.58249618047944063</v>
      </c>
      <c r="AC19" s="68">
        <f t="shared" si="21"/>
        <v>0.45038678287787226</v>
      </c>
      <c r="AD19" s="68">
        <f t="shared" si="22"/>
        <v>0.56173503069367259</v>
      </c>
      <c r="AE19" s="23">
        <f t="shared" si="23"/>
        <v>1.1146131117547897</v>
      </c>
      <c r="AF19" s="23">
        <f t="shared" si="24"/>
        <v>0.72901722444502481</v>
      </c>
      <c r="AG19" s="23">
        <f t="shared" si="25"/>
        <v>1.361635477062608</v>
      </c>
      <c r="AH19" s="23">
        <f t="shared" si="26"/>
        <v>0.48199485913720652</v>
      </c>
      <c r="AI19" s="23">
        <f t="shared" si="27"/>
        <v>1.1688375334077254</v>
      </c>
      <c r="AJ19" s="23">
        <f t="shared" si="28"/>
        <v>0.67479280279208909</v>
      </c>
      <c r="AK19" s="295">
        <f t="shared" si="36"/>
        <v>1.4005468430307738E-3</v>
      </c>
      <c r="AL19" s="70">
        <f t="shared" si="29"/>
        <v>6</v>
      </c>
      <c r="AM19" s="191">
        <f t="shared" si="37"/>
        <v>0.3</v>
      </c>
      <c r="AN19" s="192">
        <f t="shared" ref="AN19:AN37" si="43">AN20</f>
        <v>8</v>
      </c>
      <c r="AO19" s="71">
        <f t="shared" si="38"/>
        <v>0</v>
      </c>
      <c r="AP19" s="352">
        <f t="shared" si="39"/>
        <v>0</v>
      </c>
      <c r="AQ19" s="353">
        <f t="shared" si="40"/>
        <v>0</v>
      </c>
      <c r="AR19" s="353">
        <f t="shared" si="41"/>
        <v>0</v>
      </c>
    </row>
    <row r="20" spans="1:44" s="74" customFormat="1" ht="15" customHeight="1" x14ac:dyDescent="0.2">
      <c r="A20" s="63">
        <f t="shared" si="42"/>
        <v>0.22000000000000003</v>
      </c>
      <c r="B20" s="64">
        <f t="shared" si="0"/>
        <v>0.33965876836460585</v>
      </c>
      <c r="C20" s="64">
        <f t="shared" si="1"/>
        <v>2.3396587683646057</v>
      </c>
      <c r="D20" s="183">
        <f t="shared" si="2"/>
        <v>-2.1984967662461656</v>
      </c>
      <c r="E20" s="64">
        <f t="shared" si="3"/>
        <v>8.8796399999999994E-3</v>
      </c>
      <c r="F20" s="65">
        <f t="shared" si="4"/>
        <v>137189.39584145095</v>
      </c>
      <c r="G20" s="65">
        <f t="shared" si="5"/>
        <v>2272.7272727272725</v>
      </c>
      <c r="H20" s="66">
        <f t="shared" si="6"/>
        <v>278.92641913286991</v>
      </c>
      <c r="I20" s="66">
        <f t="shared" si="7"/>
        <v>307.32068999382767</v>
      </c>
      <c r="J20" s="426">
        <f t="shared" si="8"/>
        <v>2.2469260838291092</v>
      </c>
      <c r="K20" s="253">
        <f t="shared" si="9"/>
        <v>0.23859536339738385</v>
      </c>
      <c r="L20" s="271">
        <f t="shared" si="10"/>
        <v>0.39669793206396831</v>
      </c>
      <c r="M20" s="272">
        <f t="shared" si="11"/>
        <v>1.1207127051286885</v>
      </c>
      <c r="N20" s="256">
        <f t="shared" si="30"/>
        <v>0</v>
      </c>
      <c r="O20" s="64">
        <f t="shared" si="12"/>
        <v>-1.3987037596496846E-2</v>
      </c>
      <c r="P20" s="64">
        <f t="shared" si="13"/>
        <v>4.1496862330556087E-5</v>
      </c>
      <c r="Q20" s="64">
        <f t="shared" si="14"/>
        <v>1.8516545026217567E-7</v>
      </c>
      <c r="R20" s="271">
        <f t="shared" si="31"/>
        <v>0.55808854084306558</v>
      </c>
      <c r="S20" s="64">
        <f t="shared" si="32"/>
        <v>9.6387883040383981E-2</v>
      </c>
      <c r="T20" s="344">
        <f t="shared" si="33"/>
        <v>3.9377593933065826</v>
      </c>
      <c r="U20" s="279">
        <f t="shared" si="34"/>
        <v>4.9003695297686871</v>
      </c>
      <c r="V20" s="168">
        <f t="shared" si="15"/>
        <v>3.5981006249419769</v>
      </c>
      <c r="W20" s="184">
        <f t="shared" si="16"/>
        <v>2.0622406066934174</v>
      </c>
      <c r="X20" s="457">
        <f t="shared" si="17"/>
        <v>-9.6651823354688737</v>
      </c>
      <c r="Y20" s="72">
        <f t="shared" si="18"/>
        <v>0.90226318987270471</v>
      </c>
      <c r="Z20" s="73">
        <f t="shared" si="19"/>
        <v>0.79804194983419596</v>
      </c>
      <c r="AA20" s="301">
        <f t="shared" si="35"/>
        <v>0.54404847641049425</v>
      </c>
      <c r="AB20" s="69">
        <f t="shared" si="20"/>
        <v>0.56421919279918109</v>
      </c>
      <c r="AC20" s="68">
        <f t="shared" si="21"/>
        <v>0.43588967784975496</v>
      </c>
      <c r="AD20" s="68">
        <f t="shared" si="22"/>
        <v>0.54404847641049425</v>
      </c>
      <c r="AE20" s="23">
        <f t="shared" si="23"/>
        <v>1.0909718308918324</v>
      </c>
      <c r="AF20" s="23">
        <f t="shared" si="24"/>
        <v>0.71355454885357705</v>
      </c>
      <c r="AG20" s="23">
        <f t="shared" si="25"/>
        <v>1.3327547771975898</v>
      </c>
      <c r="AH20" s="23">
        <f t="shared" si="26"/>
        <v>0.47177160254781952</v>
      </c>
      <c r="AI20" s="23">
        <f t="shared" si="27"/>
        <v>1.1440461361784622</v>
      </c>
      <c r="AJ20" s="23">
        <f t="shared" si="28"/>
        <v>0.66048024356694734</v>
      </c>
      <c r="AK20" s="295">
        <f t="shared" si="36"/>
        <v>1.3546735641780491E-3</v>
      </c>
      <c r="AL20" s="70">
        <f t="shared" si="29"/>
        <v>6</v>
      </c>
      <c r="AM20" s="191">
        <f t="shared" si="37"/>
        <v>0.3</v>
      </c>
      <c r="AN20" s="192">
        <f t="shared" si="43"/>
        <v>8</v>
      </c>
      <c r="AO20" s="71">
        <f t="shared" si="38"/>
        <v>0</v>
      </c>
      <c r="AP20" s="352">
        <f t="shared" si="39"/>
        <v>0</v>
      </c>
      <c r="AQ20" s="353">
        <f t="shared" si="40"/>
        <v>0</v>
      </c>
      <c r="AR20" s="353">
        <f t="shared" si="41"/>
        <v>0</v>
      </c>
    </row>
    <row r="21" spans="1:44" s="74" customFormat="1" ht="15" customHeight="1" x14ac:dyDescent="0.2">
      <c r="A21" s="63">
        <f t="shared" si="42"/>
        <v>0.23000000000000004</v>
      </c>
      <c r="B21" s="64">
        <f t="shared" si="0"/>
        <v>0.35509780329026974</v>
      </c>
      <c r="C21" s="64">
        <f t="shared" si="1"/>
        <v>2.3550978032902696</v>
      </c>
      <c r="D21" s="183">
        <f t="shared" si="2"/>
        <v>-2.2984284374391732</v>
      </c>
      <c r="E21" s="64">
        <f t="shared" si="3"/>
        <v>9.2832599999999998E-3</v>
      </c>
      <c r="F21" s="65">
        <f t="shared" si="4"/>
        <v>131224.6395005183</v>
      </c>
      <c r="G21" s="65">
        <f t="shared" si="5"/>
        <v>2173.9130434782605</v>
      </c>
      <c r="H21" s="66">
        <f t="shared" si="6"/>
        <v>286.26610952742732</v>
      </c>
      <c r="I21" s="66">
        <f t="shared" si="7"/>
        <v>313.99736411627083</v>
      </c>
      <c r="J21" s="426">
        <f t="shared" si="8"/>
        <v>2.3914945081752048</v>
      </c>
      <c r="K21" s="253">
        <f t="shared" si="9"/>
        <v>0.23933703097384118</v>
      </c>
      <c r="L21" s="271">
        <f t="shared" si="10"/>
        <v>0.39794432392526868</v>
      </c>
      <c r="M21" s="272">
        <f t="shared" si="11"/>
        <v>1.1246433410918022</v>
      </c>
      <c r="N21" s="256">
        <f t="shared" si="30"/>
        <v>0</v>
      </c>
      <c r="O21" s="64">
        <f t="shared" si="12"/>
        <v>-1.4622812032701247E-2</v>
      </c>
      <c r="P21" s="64">
        <f t="shared" si="13"/>
        <v>4.5354629204671607E-5</v>
      </c>
      <c r="Q21" s="64">
        <f t="shared" si="14"/>
        <v>2.2119366294634881E-7</v>
      </c>
      <c r="R21" s="271">
        <f t="shared" si="31"/>
        <v>0.58055685720453809</v>
      </c>
      <c r="S21" s="64">
        <f t="shared" si="32"/>
        <v>0.10091562687998962</v>
      </c>
      <c r="T21" s="344">
        <f t="shared" si="33"/>
        <v>4.1260093406689338</v>
      </c>
      <c r="U21" s="279">
        <f t="shared" si="34"/>
        <v>5.0920453888093089</v>
      </c>
      <c r="V21" s="168">
        <f t="shared" si="15"/>
        <v>3.7709115373786641</v>
      </c>
      <c r="W21" s="184">
        <f t="shared" si="16"/>
        <v>1.8739906593310662</v>
      </c>
      <c r="X21" s="457">
        <f t="shared" si="17"/>
        <v>-9.7053535947040253</v>
      </c>
      <c r="Y21" s="72">
        <f t="shared" si="18"/>
        <v>0.88307794190601985</v>
      </c>
      <c r="Z21" s="73">
        <f t="shared" si="19"/>
        <v>0.78828400940185261</v>
      </c>
      <c r="AA21" s="301">
        <f t="shared" si="35"/>
        <v>0.52608523941097785</v>
      </c>
      <c r="AB21" s="69">
        <f t="shared" si="20"/>
        <v>0.54565337540173342</v>
      </c>
      <c r="AC21" s="68">
        <f t="shared" si="21"/>
        <v>0.42116523183277454</v>
      </c>
      <c r="AD21" s="68">
        <f t="shared" si="22"/>
        <v>0.52608523941097785</v>
      </c>
      <c r="AE21" s="23">
        <f t="shared" si="23"/>
        <v>1.0677739820432266</v>
      </c>
      <c r="AF21" s="23">
        <f t="shared" si="24"/>
        <v>0.6983819017688131</v>
      </c>
      <c r="AG21" s="23">
        <f t="shared" si="25"/>
        <v>1.3044157834690226</v>
      </c>
      <c r="AH21" s="23">
        <f t="shared" si="26"/>
        <v>0.46174010034301699</v>
      </c>
      <c r="AI21" s="23">
        <f t="shared" si="27"/>
        <v>1.119719743331816</v>
      </c>
      <c r="AJ21" s="23">
        <f t="shared" si="28"/>
        <v>0.64643614048022369</v>
      </c>
      <c r="AK21" s="295">
        <f t="shared" si="36"/>
        <v>1.3111868423589072E-3</v>
      </c>
      <c r="AL21" s="70">
        <f t="shared" si="29"/>
        <v>6</v>
      </c>
      <c r="AM21" s="191">
        <f t="shared" si="37"/>
        <v>0.3</v>
      </c>
      <c r="AN21" s="192">
        <f t="shared" si="43"/>
        <v>8</v>
      </c>
      <c r="AO21" s="71">
        <f t="shared" si="38"/>
        <v>0</v>
      </c>
      <c r="AP21" s="352">
        <f t="shared" si="39"/>
        <v>0</v>
      </c>
      <c r="AQ21" s="353">
        <f t="shared" si="40"/>
        <v>0</v>
      </c>
      <c r="AR21" s="353">
        <f t="shared" si="41"/>
        <v>0</v>
      </c>
    </row>
    <row r="22" spans="1:44" s="74" customFormat="1" ht="15" customHeight="1" x14ac:dyDescent="0.2">
      <c r="A22" s="63">
        <f t="shared" si="42"/>
        <v>0.24000000000000005</v>
      </c>
      <c r="B22" s="64">
        <f t="shared" si="0"/>
        <v>0.37053683821593364</v>
      </c>
      <c r="C22" s="64">
        <f t="shared" si="1"/>
        <v>2.3705368382159335</v>
      </c>
      <c r="D22" s="183">
        <f t="shared" si="2"/>
        <v>-2.3983601086321809</v>
      </c>
      <c r="E22" s="64">
        <f t="shared" si="3"/>
        <v>9.6868800000000001E-3</v>
      </c>
      <c r="F22" s="65">
        <f t="shared" si="4"/>
        <v>125756.94618799671</v>
      </c>
      <c r="G22" s="65">
        <f t="shared" si="5"/>
        <v>2083.333333333333</v>
      </c>
      <c r="H22" s="66">
        <f t="shared" si="6"/>
        <v>293.73626644176852</v>
      </c>
      <c r="I22" s="66">
        <f t="shared" si="7"/>
        <v>320.82246403758347</v>
      </c>
      <c r="J22" s="426">
        <f t="shared" si="8"/>
        <v>2.5429594806453633</v>
      </c>
      <c r="K22" s="253">
        <f t="shared" si="9"/>
        <v>0.24012164267608993</v>
      </c>
      <c r="L22" s="271">
        <f t="shared" si="10"/>
        <v>0.39927218912337192</v>
      </c>
      <c r="M22" s="272">
        <f t="shared" si="11"/>
        <v>1.129016726720109</v>
      </c>
      <c r="N22" s="256">
        <f t="shared" si="30"/>
        <v>0</v>
      </c>
      <c r="O22" s="64">
        <f t="shared" si="12"/>
        <v>-1.5258586468905651E-2</v>
      </c>
      <c r="P22" s="64">
        <f t="shared" si="13"/>
        <v>4.938377746715121E-5</v>
      </c>
      <c r="Q22" s="64">
        <f t="shared" si="14"/>
        <v>2.6223946949149566E-7</v>
      </c>
      <c r="R22" s="271">
        <f t="shared" si="31"/>
        <v>0.60678094165041707</v>
      </c>
      <c r="S22" s="64">
        <f t="shared" si="32"/>
        <v>0.10627199035934104</v>
      </c>
      <c r="T22" s="344">
        <f t="shared" si="33"/>
        <v>4.3258217022338963</v>
      </c>
      <c r="U22" s="279">
        <f t="shared" si="34"/>
        <v>5.2956878825067237</v>
      </c>
      <c r="V22" s="168">
        <f t="shared" si="15"/>
        <v>3.9552848640179628</v>
      </c>
      <c r="W22" s="184">
        <f t="shared" si="16"/>
        <v>1.6741782977661037</v>
      </c>
      <c r="X22" s="457">
        <f t="shared" si="17"/>
        <v>-9.7496949368610473</v>
      </c>
      <c r="Y22" s="72">
        <f t="shared" si="18"/>
        <v>0.86429155420746495</v>
      </c>
      <c r="Z22" s="73">
        <f t="shared" si="19"/>
        <v>0.77840309324712709</v>
      </c>
      <c r="AA22" s="301">
        <f t="shared" si="35"/>
        <v>0.50789838634356466</v>
      </c>
      <c r="AB22" s="69">
        <f t="shared" si="20"/>
        <v>0.52685594828666549</v>
      </c>
      <c r="AC22" s="68">
        <f t="shared" si="21"/>
        <v>0.40624704501089659</v>
      </c>
      <c r="AD22" s="68">
        <f t="shared" si="22"/>
        <v>0.50789838634356466</v>
      </c>
      <c r="AE22" s="23">
        <f t="shared" si="23"/>
        <v>1.0450584152181763</v>
      </c>
      <c r="AF22" s="23">
        <f t="shared" si="24"/>
        <v>0.68352469319675335</v>
      </c>
      <c r="AG22" s="23">
        <f t="shared" si="25"/>
        <v>1.2766659558881506</v>
      </c>
      <c r="AH22" s="23">
        <f t="shared" si="26"/>
        <v>0.45191715252677911</v>
      </c>
      <c r="AI22" s="23">
        <f t="shared" si="27"/>
        <v>1.0958990948774392</v>
      </c>
      <c r="AJ22" s="23">
        <f t="shared" si="28"/>
        <v>0.63268401353749071</v>
      </c>
      <c r="AK22" s="295">
        <f t="shared" si="36"/>
        <v>1.2699602346977509E-3</v>
      </c>
      <c r="AL22" s="70">
        <f t="shared" si="29"/>
        <v>6</v>
      </c>
      <c r="AM22" s="191">
        <f t="shared" si="37"/>
        <v>0.3</v>
      </c>
      <c r="AN22" s="192">
        <f t="shared" si="43"/>
        <v>8</v>
      </c>
      <c r="AO22" s="71">
        <f t="shared" si="38"/>
        <v>0</v>
      </c>
      <c r="AP22" s="352">
        <f t="shared" si="39"/>
        <v>0</v>
      </c>
      <c r="AQ22" s="353">
        <f t="shared" si="40"/>
        <v>0</v>
      </c>
      <c r="AR22" s="353">
        <f t="shared" si="41"/>
        <v>0</v>
      </c>
    </row>
    <row r="23" spans="1:44" s="62" customFormat="1" ht="15" customHeight="1" x14ac:dyDescent="0.25">
      <c r="A23" s="51">
        <f t="shared" si="42"/>
        <v>0.25000000000000006</v>
      </c>
      <c r="B23" s="52">
        <f t="shared" si="0"/>
        <v>0.38597587314159759</v>
      </c>
      <c r="C23" s="52">
        <f t="shared" si="1"/>
        <v>2.3859758731415974</v>
      </c>
      <c r="D23" s="180">
        <f t="shared" si="2"/>
        <v>-2.4982917798251885</v>
      </c>
      <c r="E23" s="52">
        <f t="shared" si="3"/>
        <v>1.0090500000000001E-2</v>
      </c>
      <c r="F23" s="53">
        <f t="shared" si="4"/>
        <v>120726.66834047683</v>
      </c>
      <c r="G23" s="53">
        <f t="shared" si="5"/>
        <v>1999.9999999999995</v>
      </c>
      <c r="H23" s="54">
        <f t="shared" si="6"/>
        <v>301.32718690457932</v>
      </c>
      <c r="I23" s="54">
        <f t="shared" si="7"/>
        <v>327.7867184249908</v>
      </c>
      <c r="J23" s="425">
        <f t="shared" si="8"/>
        <v>2.7013941753513433</v>
      </c>
      <c r="K23" s="252">
        <f t="shared" si="9"/>
        <v>0.24098232887404292</v>
      </c>
      <c r="L23" s="268">
        <f t="shared" si="10"/>
        <v>0.40073674312248553</v>
      </c>
      <c r="M23" s="269">
        <f t="shared" si="11"/>
        <v>1.1339957341806315</v>
      </c>
      <c r="N23" s="270">
        <f t="shared" si="30"/>
        <v>0</v>
      </c>
      <c r="O23" s="52">
        <f t="shared" si="12"/>
        <v>-1.5894360905110053E-2</v>
      </c>
      <c r="P23" s="52">
        <f t="shared" si="13"/>
        <v>5.3584297347772687E-5</v>
      </c>
      <c r="Q23" s="52">
        <f t="shared" si="14"/>
        <v>3.0874826750799575E-7</v>
      </c>
      <c r="R23" s="268">
        <f t="shared" si="31"/>
        <v>0.63729211272239794</v>
      </c>
      <c r="S23" s="52">
        <f t="shared" si="32"/>
        <v>0.11260298301927713</v>
      </c>
      <c r="T23" s="282">
        <f t="shared" si="33"/>
        <v>4.5380021961053689</v>
      </c>
      <c r="U23" s="278">
        <f t="shared" si="34"/>
        <v>5.5122435160375574</v>
      </c>
      <c r="V23" s="181">
        <f t="shared" si="15"/>
        <v>4.1520263229637715</v>
      </c>
      <c r="W23" s="182">
        <f t="shared" si="16"/>
        <v>1.4619978038946311</v>
      </c>
      <c r="X23" s="456">
        <f t="shared" si="17"/>
        <v>-9.7988106856974575</v>
      </c>
      <c r="Y23" s="59">
        <f t="shared" si="18"/>
        <v>0.84592855805768097</v>
      </c>
      <c r="Z23" s="60">
        <f t="shared" si="19"/>
        <v>0.76842971284767925</v>
      </c>
      <c r="AA23" s="300">
        <f t="shared" si="35"/>
        <v>0.48953856240621718</v>
      </c>
      <c r="AB23" s="56">
        <f t="shared" si="20"/>
        <v>0.5078814485367793</v>
      </c>
      <c r="AC23" s="55">
        <f t="shared" si="21"/>
        <v>0.39116751056832255</v>
      </c>
      <c r="AD23" s="55">
        <f t="shared" si="22"/>
        <v>0.48953856240621718</v>
      </c>
      <c r="AE23" s="61">
        <f t="shared" si="23"/>
        <v>1.0228547924226861</v>
      </c>
      <c r="AF23" s="61">
        <f t="shared" si="24"/>
        <v>0.66900232369267587</v>
      </c>
      <c r="AG23" s="61">
        <f t="shared" si="25"/>
        <v>1.249541530202849</v>
      </c>
      <c r="AH23" s="61">
        <f t="shared" si="26"/>
        <v>0.44231558591251302</v>
      </c>
      <c r="AI23" s="61">
        <f t="shared" si="27"/>
        <v>1.0726152958378439</v>
      </c>
      <c r="AJ23" s="61">
        <f t="shared" si="28"/>
        <v>0.61924182027751817</v>
      </c>
      <c r="AK23" s="306">
        <f t="shared" si="36"/>
        <v>1.2308673119337228E-3</v>
      </c>
      <c r="AL23" s="57">
        <f t="shared" si="29"/>
        <v>6</v>
      </c>
      <c r="AM23" s="190">
        <f t="shared" si="37"/>
        <v>0.3</v>
      </c>
      <c r="AN23" s="193">
        <f t="shared" si="43"/>
        <v>8</v>
      </c>
      <c r="AO23" s="58">
        <f t="shared" si="38"/>
        <v>0</v>
      </c>
      <c r="AP23" s="350">
        <f t="shared" si="39"/>
        <v>0</v>
      </c>
      <c r="AQ23" s="351">
        <f t="shared" si="40"/>
        <v>0</v>
      </c>
      <c r="AR23" s="351">
        <f t="shared" si="41"/>
        <v>0</v>
      </c>
    </row>
    <row r="24" spans="1:44" s="74" customFormat="1" ht="15" customHeight="1" x14ac:dyDescent="0.2">
      <c r="A24" s="63">
        <f t="shared" si="42"/>
        <v>0.26000000000000006</v>
      </c>
      <c r="B24" s="64">
        <f t="shared" si="0"/>
        <v>0.40141490806726149</v>
      </c>
      <c r="C24" s="64">
        <f t="shared" si="1"/>
        <v>2.4014149080672613</v>
      </c>
      <c r="D24" s="183">
        <f t="shared" si="2"/>
        <v>-2.5982234510181961</v>
      </c>
      <c r="E24" s="64">
        <f t="shared" si="3"/>
        <v>1.0494120000000001E-2</v>
      </c>
      <c r="F24" s="65">
        <f t="shared" si="4"/>
        <v>116083.33494276619</v>
      </c>
      <c r="G24" s="65">
        <f t="shared" si="5"/>
        <v>1923.0769230769226</v>
      </c>
      <c r="H24" s="66">
        <f t="shared" si="6"/>
        <v>309.02997184415943</v>
      </c>
      <c r="I24" s="66">
        <f t="shared" si="7"/>
        <v>334.88144574759423</v>
      </c>
      <c r="J24" s="426">
        <f t="shared" si="8"/>
        <v>2.866899104591782</v>
      </c>
      <c r="K24" s="253">
        <f t="shared" si="9"/>
        <v>0.24195414341357724</v>
      </c>
      <c r="L24" s="271">
        <f t="shared" si="10"/>
        <v>0.40239654786465451</v>
      </c>
      <c r="M24" s="272">
        <f t="shared" si="11"/>
        <v>1.1397561920952262</v>
      </c>
      <c r="N24" s="256">
        <f t="shared" si="30"/>
        <v>0</v>
      </c>
      <c r="O24" s="64">
        <f t="shared" si="12"/>
        <v>-1.6530135341314457E-2</v>
      </c>
      <c r="P24" s="64">
        <f t="shared" si="13"/>
        <v>5.7956178660820288E-5</v>
      </c>
      <c r="Q24" s="64">
        <f t="shared" si="14"/>
        <v>3.6118436213467268E-7</v>
      </c>
      <c r="R24" s="271">
        <f t="shared" si="31"/>
        <v>0.67275020205008351</v>
      </c>
      <c r="S24" s="64">
        <f t="shared" si="32"/>
        <v>0.12009690134842638</v>
      </c>
      <c r="T24" s="344">
        <f t="shared" si="33"/>
        <v>4.763558025106569</v>
      </c>
      <c r="U24" s="279">
        <f t="shared" si="34"/>
        <v>5.7428718127507183</v>
      </c>
      <c r="V24" s="168">
        <f t="shared" si="15"/>
        <v>4.3621431170393077</v>
      </c>
      <c r="W24" s="184">
        <f t="shared" si="16"/>
        <v>1.236441974893431</v>
      </c>
      <c r="X24" s="457">
        <f t="shared" si="17"/>
        <v>-9.8534548215514768</v>
      </c>
      <c r="Y24" s="72">
        <f t="shared" si="18"/>
        <v>0.82800689494366686</v>
      </c>
      <c r="Z24" s="73">
        <f t="shared" si="19"/>
        <v>0.75839261306422945</v>
      </c>
      <c r="AA24" s="301">
        <f t="shared" si="35"/>
        <v>0.47105371664335483</v>
      </c>
      <c r="AB24" s="69">
        <f t="shared" si="20"/>
        <v>0.48878140474391385</v>
      </c>
      <c r="AC24" s="68">
        <f t="shared" si="21"/>
        <v>0.37595776227660993</v>
      </c>
      <c r="AD24" s="68">
        <f t="shared" si="22"/>
        <v>0.47105371664335483</v>
      </c>
      <c r="AE24" s="23">
        <f t="shared" si="23"/>
        <v>1.0011848076116232</v>
      </c>
      <c r="AF24" s="23">
        <f t="shared" si="24"/>
        <v>0.65482898227571051</v>
      </c>
      <c r="AG24" s="23">
        <f t="shared" si="25"/>
        <v>1.2230690082174425</v>
      </c>
      <c r="AH24" s="23">
        <f t="shared" si="26"/>
        <v>0.43294478166989131</v>
      </c>
      <c r="AI24" s="23">
        <f t="shared" si="27"/>
        <v>1.049891095549486</v>
      </c>
      <c r="AJ24" s="23">
        <f t="shared" si="28"/>
        <v>0.60612269433784771</v>
      </c>
      <c r="AK24" s="295">
        <f t="shared" si="36"/>
        <v>1.1937840457767594E-3</v>
      </c>
      <c r="AL24" s="70">
        <f t="shared" si="29"/>
        <v>6</v>
      </c>
      <c r="AM24" s="191">
        <f t="shared" si="37"/>
        <v>0.3</v>
      </c>
      <c r="AN24" s="192">
        <f t="shared" si="43"/>
        <v>8</v>
      </c>
      <c r="AO24" s="71">
        <f t="shared" si="38"/>
        <v>0</v>
      </c>
      <c r="AP24" s="352">
        <f t="shared" si="39"/>
        <v>0</v>
      </c>
      <c r="AQ24" s="353">
        <f t="shared" si="40"/>
        <v>0</v>
      </c>
      <c r="AR24" s="353">
        <f t="shared" si="41"/>
        <v>0</v>
      </c>
    </row>
    <row r="25" spans="1:44" s="74" customFormat="1" ht="15" customHeight="1" x14ac:dyDescent="0.2">
      <c r="A25" s="63">
        <f t="shared" si="42"/>
        <v>0.27000000000000007</v>
      </c>
      <c r="B25" s="64">
        <f t="shared" si="0"/>
        <v>0.41685394299292539</v>
      </c>
      <c r="C25" s="64">
        <f t="shared" si="1"/>
        <v>2.4168539429929252</v>
      </c>
      <c r="D25" s="183">
        <f t="shared" si="2"/>
        <v>-2.6981551222112037</v>
      </c>
      <c r="E25" s="64">
        <f t="shared" si="3"/>
        <v>1.0897740000000001E-2</v>
      </c>
      <c r="F25" s="65">
        <f t="shared" si="4"/>
        <v>111783.95216710817</v>
      </c>
      <c r="G25" s="65">
        <f t="shared" si="5"/>
        <v>1851.8518518518513</v>
      </c>
      <c r="H25" s="66">
        <f t="shared" si="6"/>
        <v>316.83646256968876</v>
      </c>
      <c r="I25" s="66">
        <f t="shared" si="7"/>
        <v>342.09852852894693</v>
      </c>
      <c r="J25" s="426">
        <f t="shared" si="8"/>
        <v>3.0396070534019302</v>
      </c>
      <c r="K25" s="253">
        <f t="shared" si="9"/>
        <v>0.24307413100768693</v>
      </c>
      <c r="L25" s="271">
        <f t="shared" si="10"/>
        <v>0.40431365836431876</v>
      </c>
      <c r="M25" s="272">
        <f t="shared" si="11"/>
        <v>1.1464881639899152</v>
      </c>
      <c r="N25" s="256">
        <f t="shared" si="30"/>
        <v>0</v>
      </c>
      <c r="O25" s="64">
        <f t="shared" si="12"/>
        <v>-1.7165909777518858E-2</v>
      </c>
      <c r="P25" s="64">
        <f t="shared" si="13"/>
        <v>6.2499410805249544E-5</v>
      </c>
      <c r="Q25" s="64">
        <f t="shared" si="14"/>
        <v>4.2003096313870131E-7</v>
      </c>
      <c r="R25" s="271">
        <f t="shared" si="31"/>
        <v>0.71398176040243033</v>
      </c>
      <c r="S25" s="64">
        <f t="shared" si="32"/>
        <v>0.12899984713767282</v>
      </c>
      <c r="T25" s="344">
        <f t="shared" si="33"/>
        <v>5.0037566823302413</v>
      </c>
      <c r="U25" s="279">
        <f t="shared" si="34"/>
        <v>5.9890053189635246</v>
      </c>
      <c r="V25" s="168">
        <f t="shared" si="15"/>
        <v>4.5869027393373161</v>
      </c>
      <c r="W25" s="184">
        <f t="shared" si="16"/>
        <v>0.99624331766975871</v>
      </c>
      <c r="X25" s="457">
        <f t="shared" si="17"/>
        <v>-9.9145769465707154</v>
      </c>
      <c r="Y25" s="72">
        <f t="shared" si="18"/>
        <v>0.81053884464238179</v>
      </c>
      <c r="Z25" s="73">
        <f t="shared" si="19"/>
        <v>0.74831862740383248</v>
      </c>
      <c r="AA25" s="301">
        <f t="shared" si="35"/>
        <v>0.45248889877517162</v>
      </c>
      <c r="AB25" s="69">
        <f t="shared" si="20"/>
        <v>0.46960410171135414</v>
      </c>
      <c r="AC25" s="68">
        <f t="shared" si="21"/>
        <v>0.36064761554709657</v>
      </c>
      <c r="AD25" s="68">
        <f t="shared" si="22"/>
        <v>0.45248889877517162</v>
      </c>
      <c r="AE25" s="23">
        <f t="shared" si="23"/>
        <v>0.98006330888131132</v>
      </c>
      <c r="AF25" s="23">
        <f t="shared" si="24"/>
        <v>0.64101438040345238</v>
      </c>
      <c r="AG25" s="23">
        <f t="shared" si="25"/>
        <v>1.1972665286874398</v>
      </c>
      <c r="AH25" s="23">
        <f t="shared" si="26"/>
        <v>0.42381116059732393</v>
      </c>
      <c r="AI25" s="23">
        <f t="shared" si="27"/>
        <v>1.0277420644485102</v>
      </c>
      <c r="AJ25" s="23">
        <f t="shared" si="28"/>
        <v>0.59333562483625346</v>
      </c>
      <c r="AK25" s="295">
        <f t="shared" si="36"/>
        <v>1.1585904282981948E-3</v>
      </c>
      <c r="AL25" s="70">
        <f t="shared" si="29"/>
        <v>6</v>
      </c>
      <c r="AM25" s="191">
        <f t="shared" si="37"/>
        <v>0.3</v>
      </c>
      <c r="AN25" s="192">
        <f t="shared" si="43"/>
        <v>8</v>
      </c>
      <c r="AO25" s="71">
        <f t="shared" si="38"/>
        <v>0</v>
      </c>
      <c r="AP25" s="352">
        <f t="shared" si="39"/>
        <v>0</v>
      </c>
      <c r="AQ25" s="353">
        <f t="shared" si="40"/>
        <v>0</v>
      </c>
      <c r="AR25" s="353">
        <f t="shared" si="41"/>
        <v>0</v>
      </c>
    </row>
    <row r="26" spans="1:44" s="74" customFormat="1" ht="15" customHeight="1" x14ac:dyDescent="0.2">
      <c r="A26" s="63">
        <f t="shared" si="42"/>
        <v>0.28000000000000008</v>
      </c>
      <c r="B26" s="64">
        <f t="shared" si="0"/>
        <v>0.43229297791858928</v>
      </c>
      <c r="C26" s="64">
        <f t="shared" si="1"/>
        <v>2.4322929779185891</v>
      </c>
      <c r="D26" s="183">
        <f t="shared" si="2"/>
        <v>-2.7980867934042113</v>
      </c>
      <c r="E26" s="64">
        <f t="shared" si="3"/>
        <v>1.1301360000000002E-2</v>
      </c>
      <c r="F26" s="65">
        <f t="shared" si="4"/>
        <v>107791.66816114001</v>
      </c>
      <c r="G26" s="65">
        <f t="shared" si="5"/>
        <v>1785.7142857142851</v>
      </c>
      <c r="H26" s="66">
        <f t="shared" si="6"/>
        <v>324.73918013513946</v>
      </c>
      <c r="I26" s="66">
        <f t="shared" si="7"/>
        <v>349.43038551740102</v>
      </c>
      <c r="J26" s="426">
        <f t="shared" si="8"/>
        <v>3.2196883446545694</v>
      </c>
      <c r="K26" s="253">
        <f t="shared" si="9"/>
        <v>0.24438156267229827</v>
      </c>
      <c r="L26" s="271">
        <f t="shared" si="10"/>
        <v>0.40655405221120366</v>
      </c>
      <c r="M26" s="272">
        <f t="shared" si="11"/>
        <v>1.1543981565613497</v>
      </c>
      <c r="N26" s="256">
        <f t="shared" si="30"/>
        <v>0</v>
      </c>
      <c r="O26" s="64">
        <f t="shared" si="12"/>
        <v>-1.7801684213723263E-2</v>
      </c>
      <c r="P26" s="64">
        <f t="shared" si="13"/>
        <v>6.721398276464017E-5</v>
      </c>
      <c r="Q26" s="64">
        <f t="shared" si="14"/>
        <v>4.8579017429999081E-7</v>
      </c>
      <c r="R26" s="271">
        <f t="shared" si="31"/>
        <v>0.7620328620576502</v>
      </c>
      <c r="S26" s="64">
        <f t="shared" si="32"/>
        <v>0.13963863310985741</v>
      </c>
      <c r="T26" s="344">
        <f t="shared" si="33"/>
        <v>5.2602073557420441</v>
      </c>
      <c r="U26" s="279">
        <f t="shared" si="34"/>
        <v>6.2524330227644889</v>
      </c>
      <c r="V26" s="168">
        <f t="shared" si="15"/>
        <v>4.827914377823455</v>
      </c>
      <c r="W26" s="184">
        <f t="shared" si="16"/>
        <v>0.73979264425795588</v>
      </c>
      <c r="X26" s="457">
        <f t="shared" si="17"/>
        <v>-9.9833865418969019</v>
      </c>
      <c r="Y26" s="72">
        <f t="shared" si="18"/>
        <v>0.79353186660380826</v>
      </c>
      <c r="Z26" s="73">
        <f t="shared" si="19"/>
        <v>0.73823258866844588</v>
      </c>
      <c r="AA26" s="301">
        <f t="shared" si="35"/>
        <v>0.43388612302263274</v>
      </c>
      <c r="AB26" s="69">
        <f t="shared" si="20"/>
        <v>0.45039442822012887</v>
      </c>
      <c r="AC26" s="68">
        <f t="shared" si="21"/>
        <v>0.34526550727096605</v>
      </c>
      <c r="AD26" s="68">
        <f t="shared" si="22"/>
        <v>0.43388612302263274</v>
      </c>
      <c r="AE26" s="23">
        <f t="shared" si="23"/>
        <v>0.95949931582813408</v>
      </c>
      <c r="AF26" s="23">
        <f t="shared" si="24"/>
        <v>0.62756441737948243</v>
      </c>
      <c r="AG26" s="23">
        <f t="shared" si="25"/>
        <v>1.1721451101468014</v>
      </c>
      <c r="AH26" s="23">
        <f t="shared" si="26"/>
        <v>0.41491862306081484</v>
      </c>
      <c r="AI26" s="23">
        <f t="shared" si="27"/>
        <v>1.0061776609224757</v>
      </c>
      <c r="AJ26" s="23">
        <f t="shared" si="28"/>
        <v>0.58088607228514078</v>
      </c>
      <c r="AK26" s="295">
        <f t="shared" si="36"/>
        <v>1.1251715187423972E-3</v>
      </c>
      <c r="AL26" s="70">
        <f t="shared" si="29"/>
        <v>6</v>
      </c>
      <c r="AM26" s="191">
        <f t="shared" si="37"/>
        <v>0.3</v>
      </c>
      <c r="AN26" s="192">
        <f t="shared" si="43"/>
        <v>8</v>
      </c>
      <c r="AO26" s="71">
        <f t="shared" si="38"/>
        <v>0</v>
      </c>
      <c r="AP26" s="352">
        <f t="shared" si="39"/>
        <v>0</v>
      </c>
      <c r="AQ26" s="353">
        <f t="shared" si="40"/>
        <v>0</v>
      </c>
      <c r="AR26" s="353">
        <f t="shared" si="41"/>
        <v>0</v>
      </c>
    </row>
    <row r="27" spans="1:44" s="74" customFormat="1" ht="15" customHeight="1" x14ac:dyDescent="0.2">
      <c r="A27" s="63">
        <f t="shared" si="42"/>
        <v>0.29000000000000009</v>
      </c>
      <c r="B27" s="64">
        <f t="shared" si="0"/>
        <v>0.44773201284425324</v>
      </c>
      <c r="C27" s="64">
        <f t="shared" si="1"/>
        <v>2.447732012844253</v>
      </c>
      <c r="D27" s="183">
        <f t="shared" si="2"/>
        <v>-2.8980184645972189</v>
      </c>
      <c r="E27" s="64">
        <f t="shared" si="3"/>
        <v>1.1704980000000002E-2</v>
      </c>
      <c r="F27" s="65">
        <f t="shared" si="4"/>
        <v>104074.71408661794</v>
      </c>
      <c r="G27" s="65">
        <f t="shared" si="5"/>
        <v>1724.1379310344821</v>
      </c>
      <c r="H27" s="66">
        <f t="shared" si="6"/>
        <v>332.73126814519316</v>
      </c>
      <c r="I27" s="66">
        <f t="shared" si="7"/>
        <v>356.86994270953301</v>
      </c>
      <c r="J27" s="426">
        <f t="shared" si="8"/>
        <v>3.4073565839056879</v>
      </c>
      <c r="K27" s="253">
        <f t="shared" si="9"/>
        <v>0.24591835032789033</v>
      </c>
      <c r="L27" s="271">
        <f t="shared" si="10"/>
        <v>0.40918836352914001</v>
      </c>
      <c r="M27" s="272">
        <f t="shared" si="11"/>
        <v>1.1637123976023567</v>
      </c>
      <c r="N27" s="256">
        <f t="shared" si="30"/>
        <v>0</v>
      </c>
      <c r="O27" s="64">
        <f t="shared" si="12"/>
        <v>-1.8437458649927664E-2</v>
      </c>
      <c r="P27" s="64">
        <f t="shared" si="13"/>
        <v>7.2099883107313841E-5</v>
      </c>
      <c r="Q27" s="64">
        <f t="shared" si="14"/>
        <v>5.5898299340219252E-7</v>
      </c>
      <c r="R27" s="271">
        <f t="shared" si="31"/>
        <v>0.81824369557226617</v>
      </c>
      <c r="S27" s="64">
        <f t="shared" si="32"/>
        <v>0.15245555340157385</v>
      </c>
      <c r="T27" s="344">
        <f t="shared" si="33"/>
        <v>5.5349767682359143</v>
      </c>
      <c r="U27" s="279">
        <f t="shared" si="34"/>
        <v>6.5354191526370213</v>
      </c>
      <c r="V27" s="168">
        <f t="shared" si="15"/>
        <v>5.0872447553916613</v>
      </c>
      <c r="W27" s="184">
        <f t="shared" si="16"/>
        <v>0.46502323176408566</v>
      </c>
      <c r="X27" s="457">
        <f t="shared" si="17"/>
        <v>-10.061444943675856</v>
      </c>
      <c r="Y27" s="72">
        <f t="shared" si="18"/>
        <v>0.77698935349509479</v>
      </c>
      <c r="Z27" s="73">
        <f t="shared" si="19"/>
        <v>0.7281572880001782</v>
      </c>
      <c r="AA27" s="301">
        <f t="shared" si="35"/>
        <v>0.41528429285154989</v>
      </c>
      <c r="AB27" s="69">
        <f t="shared" si="20"/>
        <v>0.43119379894438636</v>
      </c>
      <c r="AC27" s="68">
        <f t="shared" si="21"/>
        <v>0.32983843928024914</v>
      </c>
      <c r="AD27" s="68">
        <f t="shared" si="22"/>
        <v>0.41528429285154989</v>
      </c>
      <c r="AE27" s="23">
        <f t="shared" si="23"/>
        <v>0.93949693069668316</v>
      </c>
      <c r="AF27" s="23">
        <f t="shared" si="24"/>
        <v>0.61448177629350642</v>
      </c>
      <c r="AG27" s="23">
        <f t="shared" si="25"/>
        <v>1.1477097639862182</v>
      </c>
      <c r="AH27" s="23">
        <f t="shared" si="26"/>
        <v>0.40626894300397121</v>
      </c>
      <c r="AI27" s="23">
        <f t="shared" si="27"/>
        <v>0.9852021867846299</v>
      </c>
      <c r="AJ27" s="23">
        <f t="shared" si="28"/>
        <v>0.56877652020555958</v>
      </c>
      <c r="AK27" s="295">
        <f t="shared" si="36"/>
        <v>1.0934180683860116E-3</v>
      </c>
      <c r="AL27" s="70">
        <f t="shared" si="29"/>
        <v>6</v>
      </c>
      <c r="AM27" s="191">
        <f t="shared" si="37"/>
        <v>0.3</v>
      </c>
      <c r="AN27" s="192">
        <f t="shared" si="43"/>
        <v>8</v>
      </c>
      <c r="AO27" s="71">
        <f t="shared" si="38"/>
        <v>0</v>
      </c>
      <c r="AP27" s="352">
        <f t="shared" si="39"/>
        <v>0</v>
      </c>
      <c r="AQ27" s="353">
        <f t="shared" si="40"/>
        <v>0</v>
      </c>
      <c r="AR27" s="353">
        <f t="shared" si="41"/>
        <v>0</v>
      </c>
    </row>
    <row r="28" spans="1:44" s="62" customFormat="1" ht="15" customHeight="1" x14ac:dyDescent="0.25">
      <c r="A28" s="51">
        <f t="shared" si="42"/>
        <v>0.3000000000000001</v>
      </c>
      <c r="B28" s="52">
        <f t="shared" si="0"/>
        <v>0.46317104776991713</v>
      </c>
      <c r="C28" s="52">
        <f t="shared" si="1"/>
        <v>2.4631710477699169</v>
      </c>
      <c r="D28" s="180">
        <f t="shared" si="2"/>
        <v>-2.9979501357902265</v>
      </c>
      <c r="E28" s="52">
        <f t="shared" si="3"/>
        <v>1.2108600000000002E-2</v>
      </c>
      <c r="F28" s="53">
        <f t="shared" si="4"/>
        <v>100605.55695039735</v>
      </c>
      <c r="G28" s="53">
        <f t="shared" si="5"/>
        <v>1666.6666666666661</v>
      </c>
      <c r="H28" s="54">
        <f t="shared" si="6"/>
        <v>340.80643930781491</v>
      </c>
      <c r="I28" s="54">
        <f t="shared" si="7"/>
        <v>364.41060396435813</v>
      </c>
      <c r="J28" s="425">
        <f t="shared" si="8"/>
        <v>3.6028750739573918</v>
      </c>
      <c r="K28" s="252">
        <f t="shared" si="9"/>
        <v>0.24772965811594716</v>
      </c>
      <c r="L28" s="268">
        <f t="shared" si="10"/>
        <v>0.4122929543046685</v>
      </c>
      <c r="M28" s="269">
        <f t="shared" si="11"/>
        <v>1.1746813780400669</v>
      </c>
      <c r="N28" s="270">
        <f t="shared" si="30"/>
        <v>0</v>
      </c>
      <c r="O28" s="52">
        <f t="shared" si="12"/>
        <v>-1.9073233086132065E-2</v>
      </c>
      <c r="P28" s="52">
        <f t="shared" si="13"/>
        <v>7.7157099986287065E-5</v>
      </c>
      <c r="Q28" s="52">
        <f t="shared" si="14"/>
        <v>6.4014929775774267E-7</v>
      </c>
      <c r="R28" s="268">
        <f t="shared" si="31"/>
        <v>0.88435650463810633</v>
      </c>
      <c r="S28" s="52">
        <f t="shared" si="32"/>
        <v>0.16806287960505945</v>
      </c>
      <c r="T28" s="282">
        <f t="shared" si="33"/>
        <v>5.8307591004244417</v>
      </c>
      <c r="U28" s="278">
        <f t="shared" si="34"/>
        <v>6.8408771822757881</v>
      </c>
      <c r="V28" s="181">
        <f t="shared" si="15"/>
        <v>5.3675880526545248</v>
      </c>
      <c r="W28" s="182">
        <f t="shared" si="16"/>
        <v>0.16924089957555832</v>
      </c>
      <c r="X28" s="456">
        <f t="shared" si="17"/>
        <v>-10.15080053193541</v>
      </c>
      <c r="Y28" s="59">
        <f t="shared" si="18"/>
        <v>0.76091129909828814</v>
      </c>
      <c r="Z28" s="60">
        <f t="shared" si="19"/>
        <v>0.71811347495991362</v>
      </c>
      <c r="AA28" s="300">
        <f t="shared" si="35"/>
        <v>0.39671917959460257</v>
      </c>
      <c r="AB28" s="56">
        <f t="shared" si="20"/>
        <v>0.41204014069446249</v>
      </c>
      <c r="AC28" s="55">
        <f t="shared" si="21"/>
        <v>0.31439192942709226</v>
      </c>
      <c r="AD28" s="55">
        <f t="shared" si="22"/>
        <v>0.39671917959460257</v>
      </c>
      <c r="AE28" s="61">
        <f t="shared" si="23"/>
        <v>0.92005614596851815</v>
      </c>
      <c r="AF28" s="61">
        <f t="shared" si="24"/>
        <v>0.60176645222805802</v>
      </c>
      <c r="AG28" s="61">
        <f t="shared" si="25"/>
        <v>1.1239604810210007</v>
      </c>
      <c r="AH28" s="61">
        <f t="shared" si="26"/>
        <v>0.39786211717557557</v>
      </c>
      <c r="AI28" s="61">
        <f t="shared" si="27"/>
        <v>0.96481563415077043</v>
      </c>
      <c r="AJ28" s="61">
        <f t="shared" si="28"/>
        <v>0.55700696404580574</v>
      </c>
      <c r="AK28" s="306">
        <f t="shared" si="36"/>
        <v>1.0632268384458709E-3</v>
      </c>
      <c r="AL28" s="57">
        <f t="shared" si="29"/>
        <v>6</v>
      </c>
      <c r="AM28" s="190">
        <f t="shared" si="37"/>
        <v>0.3</v>
      </c>
      <c r="AN28" s="193">
        <f t="shared" si="43"/>
        <v>8</v>
      </c>
      <c r="AO28" s="58">
        <f t="shared" si="38"/>
        <v>0.16924089957555832</v>
      </c>
      <c r="AP28" s="350">
        <f t="shared" si="39"/>
        <v>364.41060396435813</v>
      </c>
      <c r="AQ28" s="351">
        <f>IF($A28=$L$3,B_1*Tb_eff*(1+$G$9)/(SQRT(8)*SQRT($H28^2+$AG$8^2)),0)</f>
        <v>0.95390762004788121</v>
      </c>
      <c r="AR28" s="351">
        <f t="shared" si="41"/>
        <v>0.55070955384207587</v>
      </c>
    </row>
    <row r="29" spans="1:44" s="74" customFormat="1" ht="15" customHeight="1" x14ac:dyDescent="0.2">
      <c r="A29" s="63">
        <f t="shared" si="42"/>
        <v>0.31000000000000011</v>
      </c>
      <c r="B29" s="64">
        <f t="shared" si="0"/>
        <v>0.47861008269558103</v>
      </c>
      <c r="C29" s="64">
        <f t="shared" si="1"/>
        <v>2.4786100826955808</v>
      </c>
      <c r="D29" s="183">
        <f t="shared" si="2"/>
        <v>-3.0978818069832341</v>
      </c>
      <c r="E29" s="64">
        <f t="shared" si="3"/>
        <v>1.2512220000000003E-2</v>
      </c>
      <c r="F29" s="65">
        <f t="shared" si="4"/>
        <v>97360.216403610335</v>
      </c>
      <c r="G29" s="65">
        <f t="shared" si="5"/>
        <v>1612.903225806451</v>
      </c>
      <c r="H29" s="66">
        <f t="shared" si="6"/>
        <v>348.95892585135471</v>
      </c>
      <c r="I29" s="66">
        <f t="shared" si="7"/>
        <v>372.04622177805834</v>
      </c>
      <c r="J29" s="426">
        <f t="shared" si="8"/>
        <v>3.8065641383851236</v>
      </c>
      <c r="K29" s="253">
        <f t="shared" si="9"/>
        <v>0.24986473776704621</v>
      </c>
      <c r="L29" s="271">
        <f t="shared" si="10"/>
        <v>0.41595137328146325</v>
      </c>
      <c r="M29" s="272">
        <f t="shared" si="11"/>
        <v>1.1875859344932138</v>
      </c>
      <c r="N29" s="256">
        <f t="shared" si="30"/>
        <v>0</v>
      </c>
      <c r="O29" s="64">
        <f t="shared" si="12"/>
        <v>-1.970900752233647E-2</v>
      </c>
      <c r="P29" s="64">
        <f t="shared" si="13"/>
        <v>8.2385621139412519E-5</v>
      </c>
      <c r="Q29" s="64">
        <f t="shared" si="14"/>
        <v>7.2984784708966523E-7</v>
      </c>
      <c r="R29" s="271">
        <f t="shared" si="31"/>
        <v>0.96267615211597335</v>
      </c>
      <c r="S29" s="64">
        <f t="shared" si="32"/>
        <v>0.18733151005300258</v>
      </c>
      <c r="T29" s="344">
        <f t="shared" si="33"/>
        <v>6.1511339863789907</v>
      </c>
      <c r="U29" s="279">
        <f t="shared" si="34"/>
        <v>7.1726332853577874</v>
      </c>
      <c r="V29" s="168">
        <f t="shared" si="15"/>
        <v>5.6725239036834099</v>
      </c>
      <c r="W29" s="184">
        <f t="shared" si="16"/>
        <v>-0.15113398637899067</v>
      </c>
      <c r="X29" s="457">
        <f t="shared" si="17"/>
        <v>-10.254193619261461</v>
      </c>
      <c r="Y29" s="72">
        <f t="shared" si="18"/>
        <v>0.74529488498104823</v>
      </c>
      <c r="Z29" s="73">
        <f t="shared" si="19"/>
        <v>0.70811989134951681</v>
      </c>
      <c r="AA29" s="301">
        <f t="shared" si="35"/>
        <v>0.37822344744299619</v>
      </c>
      <c r="AB29" s="69">
        <f t="shared" si="20"/>
        <v>0.39296793290566923</v>
      </c>
      <c r="AC29" s="68">
        <f t="shared" si="21"/>
        <v>0.29894997327746409</v>
      </c>
      <c r="AD29" s="68">
        <f t="shared" si="22"/>
        <v>0.37822344744299619</v>
      </c>
      <c r="AE29" s="23">
        <f t="shared" si="23"/>
        <v>0.90117355373525432</v>
      </c>
      <c r="AF29" s="23">
        <f t="shared" si="24"/>
        <v>0.58941621622684215</v>
      </c>
      <c r="AG29" s="23">
        <f t="shared" si="25"/>
        <v>1.1008930980765808</v>
      </c>
      <c r="AH29" s="23">
        <f t="shared" si="26"/>
        <v>0.38969667188551549</v>
      </c>
      <c r="AI29" s="23">
        <f t="shared" si="27"/>
        <v>0.94501442932237478</v>
      </c>
      <c r="AJ29" s="23">
        <f t="shared" si="28"/>
        <v>0.54557534063972157</v>
      </c>
      <c r="AK29" s="295">
        <f t="shared" si="36"/>
        <v>1.0345006981057885E-3</v>
      </c>
      <c r="AL29" s="70">
        <f t="shared" si="29"/>
        <v>6</v>
      </c>
      <c r="AM29" s="191">
        <f t="shared" si="37"/>
        <v>0.3</v>
      </c>
      <c r="AN29" s="192">
        <f t="shared" si="43"/>
        <v>8</v>
      </c>
      <c r="AO29" s="71">
        <f t="shared" si="38"/>
        <v>0</v>
      </c>
      <c r="AP29" s="352">
        <f t="shared" si="39"/>
        <v>0</v>
      </c>
      <c r="AQ29" s="353">
        <f t="shared" ref="AQ29:AQ38" si="44">IF($A29=$L$3,B_1*Tb_eff/(SQRT(8)*H29),0)</f>
        <v>0</v>
      </c>
      <c r="AR29" s="353">
        <f t="shared" si="41"/>
        <v>0</v>
      </c>
    </row>
    <row r="30" spans="1:44" s="74" customFormat="1" ht="15" customHeight="1" x14ac:dyDescent="0.2">
      <c r="A30" s="63">
        <f t="shared" si="42"/>
        <v>0.32000000000000012</v>
      </c>
      <c r="B30" s="64">
        <f t="shared" si="0"/>
        <v>0.49404911762124498</v>
      </c>
      <c r="C30" s="64">
        <f t="shared" si="1"/>
        <v>2.4940491176212451</v>
      </c>
      <c r="D30" s="183">
        <f t="shared" si="2"/>
        <v>-3.1978134781762417</v>
      </c>
      <c r="E30" s="64">
        <f t="shared" si="3"/>
        <v>1.2915840000000003E-2</v>
      </c>
      <c r="F30" s="65">
        <f t="shared" si="4"/>
        <v>94317.709640997506</v>
      </c>
      <c r="G30" s="65">
        <f t="shared" si="5"/>
        <v>1562.4999999999993</v>
      </c>
      <c r="H30" s="66">
        <f t="shared" si="6"/>
        <v>357.18343379066209</v>
      </c>
      <c r="I30" s="66">
        <f t="shared" si="7"/>
        <v>379.77106864858098</v>
      </c>
      <c r="J30" s="426">
        <f t="shared" si="8"/>
        <v>4.0188096557096875</v>
      </c>
      <c r="K30" s="253">
        <f t="shared" si="9"/>
        <v>0.25237802929429254</v>
      </c>
      <c r="L30" s="271">
        <f t="shared" si="10"/>
        <v>0.4202562773037446</v>
      </c>
      <c r="M30" s="272">
        <f t="shared" si="11"/>
        <v>1.2027452681128352</v>
      </c>
      <c r="N30" s="256">
        <f t="shared" si="30"/>
        <v>0</v>
      </c>
      <c r="O30" s="64">
        <f t="shared" si="12"/>
        <v>-2.0344781958540871E-2</v>
      </c>
      <c r="P30" s="64">
        <f t="shared" si="13"/>
        <v>8.7785433889402543E-5</v>
      </c>
      <c r="Q30" s="64">
        <f t="shared" si="14"/>
        <v>8.2865626905426885E-7</v>
      </c>
      <c r="R30" s="271">
        <f t="shared" si="31"/>
        <v>1.0563167647655736</v>
      </c>
      <c r="S30" s="64">
        <f t="shared" si="32"/>
        <v>0.21154167074090441</v>
      </c>
      <c r="T30" s="344">
        <f t="shared" si="33"/>
        <v>6.500974314797423</v>
      </c>
      <c r="U30" s="279">
        <f t="shared" si="34"/>
        <v>7.5358413349008062</v>
      </c>
      <c r="V30" s="168">
        <f t="shared" si="15"/>
        <v>6.0069251971761783</v>
      </c>
      <c r="W30" s="184">
        <f t="shared" si="16"/>
        <v>-0.50097431479742305</v>
      </c>
      <c r="X30" s="457">
        <f t="shared" si="17"/>
        <v>-10.375378445989099</v>
      </c>
      <c r="Y30" s="72">
        <f t="shared" si="18"/>
        <v>0.73013499173180796</v>
      </c>
      <c r="Z30" s="73">
        <f t="shared" si="19"/>
        <v>0.69819333188019905</v>
      </c>
      <c r="AA30" s="301">
        <f t="shared" si="35"/>
        <v>0.35982671723867021</v>
      </c>
      <c r="AB30" s="69">
        <f t="shared" si="20"/>
        <v>0.37400829252488133</v>
      </c>
      <c r="AC30" s="68">
        <f t="shared" si="21"/>
        <v>0.2835350183886074</v>
      </c>
      <c r="AD30" s="68">
        <f t="shared" si="22"/>
        <v>0.35982671723867021</v>
      </c>
      <c r="AE30" s="23">
        <f t="shared" si="23"/>
        <v>0.88284296385872196</v>
      </c>
      <c r="AF30" s="23">
        <f t="shared" si="24"/>
        <v>0.57742701960489395</v>
      </c>
      <c r="AG30" s="23">
        <f t="shared" si="25"/>
        <v>1.0785000531463307</v>
      </c>
      <c r="AH30" s="23">
        <f t="shared" si="26"/>
        <v>0.38176993031728529</v>
      </c>
      <c r="AI30" s="23">
        <f t="shared" si="27"/>
        <v>0.92579208101941657</v>
      </c>
      <c r="AJ30" s="23">
        <f t="shared" si="28"/>
        <v>0.53447790244419935</v>
      </c>
      <c r="AK30" s="295">
        <f t="shared" si="36"/>
        <v>1.007148568082769E-3</v>
      </c>
      <c r="AL30" s="70">
        <f t="shared" si="29"/>
        <v>6</v>
      </c>
      <c r="AM30" s="191">
        <f t="shared" si="37"/>
        <v>0.3</v>
      </c>
      <c r="AN30" s="192">
        <f t="shared" si="43"/>
        <v>8</v>
      </c>
      <c r="AO30" s="71">
        <f t="shared" si="38"/>
        <v>0</v>
      </c>
      <c r="AP30" s="352">
        <f t="shared" si="39"/>
        <v>0</v>
      </c>
      <c r="AQ30" s="353">
        <f t="shared" si="44"/>
        <v>0</v>
      </c>
      <c r="AR30" s="353">
        <f t="shared" si="41"/>
        <v>0</v>
      </c>
    </row>
    <row r="31" spans="1:44" s="74" customFormat="1" ht="15" customHeight="1" x14ac:dyDescent="0.2">
      <c r="A31" s="63">
        <f t="shared" si="42"/>
        <v>0.33000000000000013</v>
      </c>
      <c r="B31" s="64">
        <f t="shared" si="0"/>
        <v>0.50948815254690882</v>
      </c>
      <c r="C31" s="64">
        <f t="shared" si="1"/>
        <v>2.5094881525469086</v>
      </c>
      <c r="D31" s="183">
        <f t="shared" si="2"/>
        <v>-3.2977451493692493</v>
      </c>
      <c r="E31" s="64">
        <f t="shared" si="3"/>
        <v>1.3319460000000003E-2</v>
      </c>
      <c r="F31" s="65">
        <f t="shared" si="4"/>
        <v>91459.597227633945</v>
      </c>
      <c r="G31" s="65">
        <f t="shared" si="5"/>
        <v>1515.1515151515146</v>
      </c>
      <c r="H31" s="66">
        <f t="shared" si="6"/>
        <v>365.47510093458118</v>
      </c>
      <c r="I31" s="66">
        <f t="shared" si="7"/>
        <v>387.57980934401013</v>
      </c>
      <c r="J31" s="426">
        <f t="shared" si="8"/>
        <v>4.2400731878411362</v>
      </c>
      <c r="K31" s="253">
        <f t="shared" si="9"/>
        <v>0.25533058774520168</v>
      </c>
      <c r="L31" s="271">
        <f t="shared" si="10"/>
        <v>0.42531192463171497</v>
      </c>
      <c r="M31" s="272">
        <f t="shared" si="11"/>
        <v>1.220527468427977</v>
      </c>
      <c r="N31" s="256">
        <f t="shared" si="30"/>
        <v>0</v>
      </c>
      <c r="O31" s="64">
        <f t="shared" si="12"/>
        <v>-2.0980556394745272E-2</v>
      </c>
      <c r="P31" s="64">
        <f t="shared" si="13"/>
        <v>9.335652514378213E-5</v>
      </c>
      <c r="Q31" s="64">
        <f t="shared" si="14"/>
        <v>9.3717105826312501E-7</v>
      </c>
      <c r="R31" s="271">
        <f t="shared" si="31"/>
        <v>1.1695953898308451</v>
      </c>
      <c r="S31" s="64">
        <f t="shared" si="32"/>
        <v>0.24265308230146548</v>
      </c>
      <c r="T31" s="344">
        <f t="shared" si="33"/>
        <v>6.8871226743231286</v>
      </c>
      <c r="U31" s="279">
        <f t="shared" si="34"/>
        <v>7.9376688058645923</v>
      </c>
      <c r="V31" s="168">
        <f t="shared" si="15"/>
        <v>6.37763452177622</v>
      </c>
      <c r="W31" s="184">
        <f t="shared" si="16"/>
        <v>-0.88712267432312863</v>
      </c>
      <c r="X31" s="457">
        <f t="shared" si="17"/>
        <v>-10.519651920275102</v>
      </c>
      <c r="Y31" s="72">
        <f t="shared" si="18"/>
        <v>0.715424641281038</v>
      </c>
      <c r="Z31" s="73">
        <f t="shared" si="19"/>
        <v>0.68834872538928471</v>
      </c>
      <c r="AA31" s="301">
        <f t="shared" si="35"/>
        <v>0.34155566175003815</v>
      </c>
      <c r="AB31" s="69">
        <f t="shared" si="20"/>
        <v>0.35518909403512744</v>
      </c>
      <c r="AC31" s="68">
        <f t="shared" si="21"/>
        <v>0.26816795218383271</v>
      </c>
      <c r="AD31" s="68">
        <f t="shared" si="22"/>
        <v>0.34155566175003815</v>
      </c>
      <c r="AE31" s="23">
        <f t="shared" si="23"/>
        <v>0.86505593880386944</v>
      </c>
      <c r="AF31" s="23">
        <f t="shared" si="24"/>
        <v>0.56579334375820656</v>
      </c>
      <c r="AG31" s="23">
        <f t="shared" si="25"/>
        <v>1.0567710387549971</v>
      </c>
      <c r="AH31" s="23">
        <f t="shared" si="26"/>
        <v>0.37407824380707877</v>
      </c>
      <c r="AI31" s="23">
        <f t="shared" si="27"/>
        <v>0.90713974123216579</v>
      </c>
      <c r="AJ31" s="23">
        <f t="shared" si="28"/>
        <v>0.52370954132991021</v>
      </c>
      <c r="AK31" s="295">
        <f t="shared" si="36"/>
        <v>9.8108525852082565E-4</v>
      </c>
      <c r="AL31" s="70">
        <f t="shared" si="29"/>
        <v>6</v>
      </c>
      <c r="AM31" s="191">
        <f t="shared" si="37"/>
        <v>0.3</v>
      </c>
      <c r="AN31" s="192">
        <f t="shared" si="43"/>
        <v>8</v>
      </c>
      <c r="AO31" s="71">
        <f t="shared" si="38"/>
        <v>0</v>
      </c>
      <c r="AP31" s="352">
        <f t="shared" si="39"/>
        <v>0</v>
      </c>
      <c r="AQ31" s="353">
        <f t="shared" si="44"/>
        <v>0</v>
      </c>
      <c r="AR31" s="353">
        <f t="shared" si="41"/>
        <v>0</v>
      </c>
    </row>
    <row r="32" spans="1:44" s="74" customFormat="1" ht="15" customHeight="1" x14ac:dyDescent="0.2">
      <c r="A32" s="63">
        <f t="shared" si="42"/>
        <v>0.34000000000000014</v>
      </c>
      <c r="B32" s="64">
        <f t="shared" si="0"/>
        <v>0.52492718747257283</v>
      </c>
      <c r="C32" s="64">
        <f t="shared" si="1"/>
        <v>2.5249271874725729</v>
      </c>
      <c r="D32" s="183">
        <f t="shared" si="2"/>
        <v>-3.3976768205622569</v>
      </c>
      <c r="E32" s="64">
        <f t="shared" si="3"/>
        <v>1.3723080000000004E-2</v>
      </c>
      <c r="F32" s="65">
        <f t="shared" si="4"/>
        <v>88769.609073880012</v>
      </c>
      <c r="G32" s="65">
        <f t="shared" si="5"/>
        <v>1470.5882352941171</v>
      </c>
      <c r="H32" s="66">
        <f t="shared" si="6"/>
        <v>373.82945846641536</v>
      </c>
      <c r="I32" s="66">
        <f t="shared" si="7"/>
        <v>395.46747429503012</v>
      </c>
      <c r="J32" s="426">
        <f t="shared" si="8"/>
        <v>4.4709041967626142</v>
      </c>
      <c r="K32" s="253">
        <f t="shared" si="9"/>
        <v>0.25879192397682882</v>
      </c>
      <c r="L32" s="271">
        <f t="shared" si="10"/>
        <v>0.4312373984884994</v>
      </c>
      <c r="M32" s="272">
        <f t="shared" si="11"/>
        <v>1.2413633635360357</v>
      </c>
      <c r="N32" s="256">
        <f t="shared" si="30"/>
        <v>0</v>
      </c>
      <c r="O32" s="64">
        <f t="shared" si="12"/>
        <v>-2.161633083094968E-2</v>
      </c>
      <c r="P32" s="64">
        <f t="shared" si="13"/>
        <v>9.9098881395147899E-5</v>
      </c>
      <c r="Q32" s="64">
        <f t="shared" si="14"/>
        <v>1.0560075608387518E-6</v>
      </c>
      <c r="R32" s="271">
        <f t="shared" si="31"/>
        <v>1.3086901964019146</v>
      </c>
      <c r="S32" s="64">
        <f t="shared" si="32"/>
        <v>0.28382208727735631</v>
      </c>
      <c r="T32" s="344">
        <f t="shared" si="33"/>
        <v>7.3195821224105178</v>
      </c>
      <c r="U32" s="279">
        <f t="shared" si="34"/>
        <v>8.388500011434882</v>
      </c>
      <c r="V32" s="168">
        <f t="shared" si="15"/>
        <v>6.7946549349379453</v>
      </c>
      <c r="W32" s="184">
        <f t="shared" si="16"/>
        <v>-1.3195821224105178</v>
      </c>
      <c r="X32" s="457">
        <f t="shared" si="17"/>
        <v>-10.694770383096284</v>
      </c>
      <c r="Y32" s="72">
        <f t="shared" si="18"/>
        <v>0.70115537709391895</v>
      </c>
      <c r="Z32" s="73">
        <f t="shared" si="19"/>
        <v>0.67859923102377828</v>
      </c>
      <c r="AA32" s="301">
        <f t="shared" si="35"/>
        <v>0.323434125591326</v>
      </c>
      <c r="AB32" s="69">
        <f t="shared" si="20"/>
        <v>0.3365351161781287</v>
      </c>
      <c r="AC32" s="68">
        <f t="shared" si="21"/>
        <v>0.252868103612919</v>
      </c>
      <c r="AD32" s="68">
        <f t="shared" si="22"/>
        <v>0.323434125591326</v>
      </c>
      <c r="AE32" s="23">
        <f t="shared" si="23"/>
        <v>0.84780225334885617</v>
      </c>
      <c r="AF32" s="23">
        <f t="shared" si="24"/>
        <v>0.55450850083898173</v>
      </c>
      <c r="AG32" s="23">
        <f t="shared" si="25"/>
        <v>1.0356935635504945</v>
      </c>
      <c r="AH32" s="23">
        <f t="shared" si="26"/>
        <v>0.36661719063734333</v>
      </c>
      <c r="AI32" s="23">
        <f t="shared" si="27"/>
        <v>0.88904668729555725</v>
      </c>
      <c r="AJ32" s="23">
        <f t="shared" si="28"/>
        <v>0.51326406689228055</v>
      </c>
      <c r="AK32" s="295">
        <f t="shared" si="36"/>
        <v>9.5623123731409187E-4</v>
      </c>
      <c r="AL32" s="70">
        <f t="shared" si="29"/>
        <v>6</v>
      </c>
      <c r="AM32" s="191">
        <f t="shared" si="37"/>
        <v>0.3</v>
      </c>
      <c r="AN32" s="192">
        <f t="shared" si="43"/>
        <v>8</v>
      </c>
      <c r="AO32" s="71">
        <f t="shared" si="38"/>
        <v>0</v>
      </c>
      <c r="AP32" s="352">
        <f t="shared" si="39"/>
        <v>0</v>
      </c>
      <c r="AQ32" s="353">
        <f t="shared" si="44"/>
        <v>0</v>
      </c>
      <c r="AR32" s="353">
        <f t="shared" si="41"/>
        <v>0</v>
      </c>
    </row>
    <row r="33" spans="1:49" s="62" customFormat="1" ht="15" customHeight="1" x14ac:dyDescent="0.25">
      <c r="A33" s="51">
        <f t="shared" si="42"/>
        <v>0.35000000000000014</v>
      </c>
      <c r="B33" s="52">
        <f t="shared" si="0"/>
        <v>0.54036622239823673</v>
      </c>
      <c r="C33" s="52">
        <f t="shared" si="1"/>
        <v>2.5403662223982368</v>
      </c>
      <c r="D33" s="180">
        <f t="shared" si="2"/>
        <v>-3.4976084917552646</v>
      </c>
      <c r="E33" s="52">
        <f t="shared" si="3"/>
        <v>1.4126700000000004E-2</v>
      </c>
      <c r="F33" s="53">
        <f t="shared" si="4"/>
        <v>86233.334528912004</v>
      </c>
      <c r="G33" s="53">
        <f t="shared" si="5"/>
        <v>1428.571428571428</v>
      </c>
      <c r="H33" s="54">
        <f t="shared" si="6"/>
        <v>382.24239589158805</v>
      </c>
      <c r="I33" s="54">
        <f t="shared" si="7"/>
        <v>403.42943425701907</v>
      </c>
      <c r="J33" s="425">
        <f t="shared" si="8"/>
        <v>4.711954994899247</v>
      </c>
      <c r="K33" s="252">
        <f t="shared" si="9"/>
        <v>0.26284238601909138</v>
      </c>
      <c r="L33" s="268">
        <f t="shared" si="10"/>
        <v>0.43817078855586633</v>
      </c>
      <c r="M33" s="269">
        <f t="shared" si="11"/>
        <v>1.2657648925304201</v>
      </c>
      <c r="N33" s="270">
        <f t="shared" si="30"/>
        <v>0</v>
      </c>
      <c r="O33" s="52">
        <f t="shared" si="12"/>
        <v>-2.2252105267154081E-2</v>
      </c>
      <c r="P33" s="52">
        <f t="shared" si="13"/>
        <v>1.0501248872102685E-4</v>
      </c>
      <c r="Q33" s="52">
        <f t="shared" si="14"/>
        <v>1.1857999792196932E-6</v>
      </c>
      <c r="R33" s="268">
        <f t="shared" si="31"/>
        <v>1.4828065201929899</v>
      </c>
      <c r="S33" s="52">
        <f t="shared" si="32"/>
        <v>0.34047716693152635</v>
      </c>
      <c r="T33" s="282">
        <f t="shared" si="33"/>
        <v>7.813776878777845</v>
      </c>
      <c r="U33" s="278">
        <f t="shared" si="34"/>
        <v>8.9042133687714902</v>
      </c>
      <c r="V33" s="181">
        <f t="shared" si="15"/>
        <v>7.2734106563796086</v>
      </c>
      <c r="W33" s="182">
        <f t="shared" si="16"/>
        <v>-1.813776878777845</v>
      </c>
      <c r="X33" s="456">
        <f t="shared" si="17"/>
        <v>-10.91265341143253</v>
      </c>
      <c r="Y33" s="59">
        <f t="shared" si="18"/>
        <v>0.68731758895672901</v>
      </c>
      <c r="Z33" s="60">
        <f t="shared" si="19"/>
        <v>0.66895634457184916</v>
      </c>
      <c r="AA33" s="300">
        <f t="shared" si="35"/>
        <v>0.30548326356998645</v>
      </c>
      <c r="AB33" s="56">
        <f t="shared" si="20"/>
        <v>0.31806820788514445</v>
      </c>
      <c r="AC33" s="55">
        <f t="shared" si="21"/>
        <v>0.23765325812011073</v>
      </c>
      <c r="AD33" s="55">
        <f t="shared" si="22"/>
        <v>0.30548326356998645</v>
      </c>
      <c r="AE33" s="61">
        <f t="shared" si="23"/>
        <v>0.83107028730061994</v>
      </c>
      <c r="AF33" s="61">
        <f t="shared" si="24"/>
        <v>0.54356489061283808</v>
      </c>
      <c r="AG33" s="61">
        <f t="shared" si="25"/>
        <v>1.0152534320537303</v>
      </c>
      <c r="AH33" s="61">
        <f t="shared" si="26"/>
        <v>0.35938174585972765</v>
      </c>
      <c r="AI33" s="61">
        <f t="shared" si="27"/>
        <v>0.87150073370983927</v>
      </c>
      <c r="AJ33" s="61">
        <f t="shared" si="28"/>
        <v>0.50313444420361864</v>
      </c>
      <c r="AK33" s="306">
        <f t="shared" si="36"/>
        <v>9.3251235534226194E-4</v>
      </c>
      <c r="AL33" s="57">
        <f t="shared" si="29"/>
        <v>6</v>
      </c>
      <c r="AM33" s="190">
        <f t="shared" si="37"/>
        <v>0.3</v>
      </c>
      <c r="AN33" s="193">
        <f t="shared" si="43"/>
        <v>8</v>
      </c>
      <c r="AO33" s="58">
        <f t="shared" si="38"/>
        <v>0</v>
      </c>
      <c r="AP33" s="350">
        <f t="shared" si="39"/>
        <v>0</v>
      </c>
      <c r="AQ33" s="351">
        <f t="shared" si="44"/>
        <v>0</v>
      </c>
      <c r="AR33" s="351">
        <f t="shared" si="41"/>
        <v>0</v>
      </c>
    </row>
    <row r="34" spans="1:49" s="74" customFormat="1" ht="15" customHeight="1" x14ac:dyDescent="0.2">
      <c r="A34" s="63">
        <f t="shared" si="42"/>
        <v>0.36000000000000015</v>
      </c>
      <c r="B34" s="64">
        <f t="shared" si="0"/>
        <v>0.55580525732390063</v>
      </c>
      <c r="C34" s="64">
        <f t="shared" si="1"/>
        <v>2.5558052573239007</v>
      </c>
      <c r="D34" s="183">
        <f t="shared" si="2"/>
        <v>-3.5975401629482722</v>
      </c>
      <c r="E34" s="64">
        <f t="shared" si="3"/>
        <v>1.4530320000000005E-2</v>
      </c>
      <c r="F34" s="65">
        <f t="shared" si="4"/>
        <v>83837.964125331113</v>
      </c>
      <c r="G34" s="65">
        <f t="shared" si="5"/>
        <v>1388.8888888888882</v>
      </c>
      <c r="H34" s="66">
        <f t="shared" si="6"/>
        <v>390.71012912655169</v>
      </c>
      <c r="I34" s="66">
        <f t="shared" si="7"/>
        <v>411.46137632842726</v>
      </c>
      <c r="J34" s="426">
        <f t="shared" si="8"/>
        <v>4.9639992859669739</v>
      </c>
      <c r="K34" s="253">
        <f t="shared" si="9"/>
        <v>0.26757626328699757</v>
      </c>
      <c r="L34" s="271">
        <f t="shared" si="10"/>
        <v>0.44627465889213003</v>
      </c>
      <c r="M34" s="272">
        <f t="shared" si="11"/>
        <v>1.2943497621210023</v>
      </c>
      <c r="N34" s="256">
        <f t="shared" si="30"/>
        <v>0</v>
      </c>
      <c r="O34" s="64">
        <f t="shared" si="12"/>
        <v>-2.2887879703358482E-2</v>
      </c>
      <c r="P34" s="64">
        <f t="shared" si="13"/>
        <v>1.1109733278399408E-4</v>
      </c>
      <c r="Q34" s="64">
        <f t="shared" si="14"/>
        <v>1.3272013528558448E-6</v>
      </c>
      <c r="R34" s="271">
        <f t="shared" si="31"/>
        <v>1.7064013057793883</v>
      </c>
      <c r="S34" s="64">
        <f t="shared" si="32"/>
        <v>0.42281382514632609</v>
      </c>
      <c r="T34" s="344">
        <f t="shared" si="33"/>
        <v>8.3952956603100723</v>
      </c>
      <c r="U34" s="279">
        <f t="shared" si="34"/>
        <v>9.5109470268259422</v>
      </c>
      <c r="V34" s="168">
        <f t="shared" si="15"/>
        <v>7.8394904029861721</v>
      </c>
      <c r="W34" s="184">
        <f t="shared" si="16"/>
        <v>-2.3952956603100723</v>
      </c>
      <c r="X34" s="457">
        <f t="shared" si="17"/>
        <v>-11.192855702453365</v>
      </c>
      <c r="Y34" s="72">
        <f t="shared" si="18"/>
        <v>0.67390078879817905</v>
      </c>
      <c r="Z34" s="73">
        <f t="shared" si="19"/>
        <v>0.65943001088155284</v>
      </c>
      <c r="AA34" s="301">
        <f t="shared" si="35"/>
        <v>0.28772169195345887</v>
      </c>
      <c r="AB34" s="69">
        <f t="shared" si="20"/>
        <v>0.29980746692833637</v>
      </c>
      <c r="AC34" s="68">
        <f t="shared" si="21"/>
        <v>0.22253968494058185</v>
      </c>
      <c r="AD34" s="68">
        <f t="shared" si="22"/>
        <v>0.28772169195345887</v>
      </c>
      <c r="AE34" s="23">
        <f t="shared" si="23"/>
        <v>0.81484735900433403</v>
      </c>
      <c r="AF34" s="23">
        <f t="shared" si="24"/>
        <v>0.53295421859202396</v>
      </c>
      <c r="AG34" s="23">
        <f t="shared" si="25"/>
        <v>0.99543515208097022</v>
      </c>
      <c r="AH34" s="23">
        <f t="shared" si="26"/>
        <v>0.35236642551538783</v>
      </c>
      <c r="AI34" s="23">
        <f t="shared" si="27"/>
        <v>0.85448858187481513</v>
      </c>
      <c r="AJ34" s="23">
        <f t="shared" si="28"/>
        <v>0.49331299572154286</v>
      </c>
      <c r="AK34" s="295">
        <f t="shared" si="36"/>
        <v>9.0985954784736996E-4</v>
      </c>
      <c r="AL34" s="70">
        <f t="shared" si="29"/>
        <v>6</v>
      </c>
      <c r="AM34" s="191">
        <f t="shared" si="37"/>
        <v>0.3</v>
      </c>
      <c r="AN34" s="192">
        <f t="shared" si="43"/>
        <v>8</v>
      </c>
      <c r="AO34" s="71">
        <f t="shared" si="38"/>
        <v>0</v>
      </c>
      <c r="AP34" s="352">
        <f t="shared" si="39"/>
        <v>0</v>
      </c>
      <c r="AQ34" s="353">
        <f t="shared" si="44"/>
        <v>0</v>
      </c>
      <c r="AR34" s="353">
        <f t="shared" si="41"/>
        <v>0</v>
      </c>
    </row>
    <row r="35" spans="1:49" s="74" customFormat="1" ht="15" customHeight="1" x14ac:dyDescent="0.2">
      <c r="A35" s="63">
        <f t="shared" si="42"/>
        <v>0.37000000000000016</v>
      </c>
      <c r="B35" s="64">
        <f t="shared" si="0"/>
        <v>0.57124429224956452</v>
      </c>
      <c r="C35" s="64">
        <f t="shared" si="1"/>
        <v>2.5712442922495646</v>
      </c>
      <c r="D35" s="183">
        <f t="shared" si="2"/>
        <v>-3.6974718341412798</v>
      </c>
      <c r="E35" s="64">
        <f t="shared" si="3"/>
        <v>1.4933940000000005E-2</v>
      </c>
      <c r="F35" s="65">
        <f t="shared" si="4"/>
        <v>81572.073203024862</v>
      </c>
      <c r="G35" s="65">
        <f t="shared" si="5"/>
        <v>1351.3513513513508</v>
      </c>
      <c r="H35" s="66">
        <f t="shared" si="6"/>
        <v>399.22917149518139</v>
      </c>
      <c r="I35" s="66">
        <f t="shared" si="7"/>
        <v>419.55928136644275</v>
      </c>
      <c r="J35" s="426">
        <f t="shared" si="8"/>
        <v>5.2279554525068388</v>
      </c>
      <c r="K35" s="253">
        <f t="shared" si="9"/>
        <v>0.27310587789462737</v>
      </c>
      <c r="L35" s="271">
        <f t="shared" si="10"/>
        <v>0.45574327986385033</v>
      </c>
      <c r="M35" s="272">
        <f t="shared" si="11"/>
        <v>1.3278750238064889</v>
      </c>
      <c r="N35" s="256">
        <f t="shared" si="30"/>
        <v>0</v>
      </c>
      <c r="O35" s="64">
        <f t="shared" si="12"/>
        <v>-2.3523654139562884E-2</v>
      </c>
      <c r="P35" s="64">
        <f t="shared" si="13"/>
        <v>1.1735339883176704E-4</v>
      </c>
      <c r="Q35" s="64">
        <f t="shared" si="14"/>
        <v>1.48088355529568E-6</v>
      </c>
      <c r="R35" s="271">
        <f t="shared" si="31"/>
        <v>2.0038656806831949</v>
      </c>
      <c r="S35" s="64">
        <f t="shared" si="32"/>
        <v>0.55252778827080484</v>
      </c>
      <c r="T35" s="344">
        <f t="shared" si="33"/>
        <v>9.1113379744578094</v>
      </c>
      <c r="U35" s="279">
        <f t="shared" si="34"/>
        <v>10.256575596295075</v>
      </c>
      <c r="V35" s="168">
        <f t="shared" si="15"/>
        <v>8.5400936822082443</v>
      </c>
      <c r="W35" s="184">
        <f t="shared" si="16"/>
        <v>-3.1113379744578094</v>
      </c>
      <c r="X35" s="457">
        <f t="shared" si="17"/>
        <v>-11.570616247527276</v>
      </c>
      <c r="Y35" s="72">
        <f t="shared" si="18"/>
        <v>0.66089384356994307</v>
      </c>
      <c r="Z35" s="73">
        <f t="shared" si="19"/>
        <v>0.65002873902495617</v>
      </c>
      <c r="AA35" s="301">
        <f t="shared" si="35"/>
        <v>0.27016564788411612</v>
      </c>
      <c r="AB35" s="69">
        <f t="shared" si="20"/>
        <v>0.28176942579925779</v>
      </c>
      <c r="AC35" s="68">
        <f t="shared" si="21"/>
        <v>0.20754217540097075</v>
      </c>
      <c r="AD35" s="68">
        <f t="shared" si="22"/>
        <v>0.27016564788411612</v>
      </c>
      <c r="AE35" s="23">
        <f t="shared" si="23"/>
        <v>0.79912000693097685</v>
      </c>
      <c r="AF35" s="23">
        <f t="shared" si="24"/>
        <v>0.5226676802089093</v>
      </c>
      <c r="AG35" s="23">
        <f t="shared" si="25"/>
        <v>0.9762222787373015</v>
      </c>
      <c r="AH35" s="23">
        <f t="shared" si="26"/>
        <v>0.34556540840258471</v>
      </c>
      <c r="AI35" s="23">
        <f t="shared" si="27"/>
        <v>0.83799611537626773</v>
      </c>
      <c r="AJ35" s="23">
        <f t="shared" si="28"/>
        <v>0.48379157176361853</v>
      </c>
      <c r="AK35" s="295">
        <f t="shared" si="36"/>
        <v>8.8820852573738649E-4</v>
      </c>
      <c r="AL35" s="70">
        <f t="shared" si="29"/>
        <v>6</v>
      </c>
      <c r="AM35" s="191">
        <f t="shared" si="37"/>
        <v>0.3</v>
      </c>
      <c r="AN35" s="192">
        <f t="shared" si="43"/>
        <v>8</v>
      </c>
      <c r="AO35" s="71">
        <f t="shared" si="38"/>
        <v>0</v>
      </c>
      <c r="AP35" s="352">
        <f t="shared" si="39"/>
        <v>0</v>
      </c>
      <c r="AQ35" s="353">
        <f t="shared" si="44"/>
        <v>0</v>
      </c>
      <c r="AR35" s="353">
        <f t="shared" si="41"/>
        <v>0</v>
      </c>
    </row>
    <row r="36" spans="1:49" s="74" customFormat="1" ht="15" customHeight="1" x14ac:dyDescent="0.2">
      <c r="A36" s="63">
        <f t="shared" si="42"/>
        <v>0.38000000000000017</v>
      </c>
      <c r="B36" s="64">
        <f t="shared" si="0"/>
        <v>0.58668332717522842</v>
      </c>
      <c r="C36" s="64">
        <f t="shared" si="1"/>
        <v>2.5866833271752285</v>
      </c>
      <c r="D36" s="183">
        <f t="shared" si="2"/>
        <v>-3.7974035053342874</v>
      </c>
      <c r="E36" s="64">
        <f t="shared" si="3"/>
        <v>1.5337560000000005E-2</v>
      </c>
      <c r="F36" s="65">
        <f t="shared" si="4"/>
        <v>79425.439697682101</v>
      </c>
      <c r="G36" s="65">
        <f t="shared" si="5"/>
        <v>1315.78947368421</v>
      </c>
      <c r="H36" s="66">
        <f t="shared" si="6"/>
        <v>407.79630739974613</v>
      </c>
      <c r="I36" s="66">
        <f t="shared" si="7"/>
        <v>427.7194028061682</v>
      </c>
      <c r="J36" s="426">
        <f t="shared" si="8"/>
        <v>5.5049161771367627</v>
      </c>
      <c r="K36" s="253">
        <f t="shared" si="9"/>
        <v>0.2795670506282022</v>
      </c>
      <c r="L36" s="271">
        <f t="shared" si="10"/>
        <v>0.46681232716014076</v>
      </c>
      <c r="M36" s="272">
        <f t="shared" si="11"/>
        <v>1.3672835917485608</v>
      </c>
      <c r="N36" s="256">
        <f t="shared" si="30"/>
        <v>0</v>
      </c>
      <c r="O36" s="64">
        <f t="shared" si="12"/>
        <v>-2.4159428575767285E-2</v>
      </c>
      <c r="P36" s="64">
        <f t="shared" si="13"/>
        <v>1.237806716972761E-4</v>
      </c>
      <c r="Q36" s="64">
        <f t="shared" si="14"/>
        <v>1.647537288378725E-6</v>
      </c>
      <c r="R36" s="271">
        <f t="shared" si="31"/>
        <v>2.4208433195522803</v>
      </c>
      <c r="S36" s="64">
        <f t="shared" si="32"/>
        <v>0.78564566200548236</v>
      </c>
      <c r="T36" s="344">
        <f t="shared" si="33"/>
        <v>10.064902460567183</v>
      </c>
      <c r="U36" s="279">
        <f t="shared" si="34"/>
        <v>11.244940775783807</v>
      </c>
      <c r="V36" s="168">
        <f t="shared" si="15"/>
        <v>9.4782191333919545</v>
      </c>
      <c r="W36" s="184">
        <f t="shared" si="16"/>
        <v>-4.0649024605671826</v>
      </c>
      <c r="X36" s="457">
        <f t="shared" si="17"/>
        <v>-12.119592024843097</v>
      </c>
      <c r="Y36" s="72">
        <f t="shared" si="18"/>
        <v>0.64828517071826608</v>
      </c>
      <c r="Z36" s="73">
        <f t="shared" si="19"/>
        <v>0.64075971752355454</v>
      </c>
      <c r="AA36" s="301">
        <f t="shared" si="35"/>
        <v>0.25282915290057795</v>
      </c>
      <c r="AB36" s="69">
        <f t="shared" si="20"/>
        <v>0.26396824026675181</v>
      </c>
      <c r="AC36" s="68">
        <f t="shared" si="21"/>
        <v>0.19267409069174146</v>
      </c>
      <c r="AD36" s="68">
        <f t="shared" si="22"/>
        <v>0.25282915290057795</v>
      </c>
      <c r="AE36" s="23">
        <f t="shared" si="23"/>
        <v>0.78387422603189028</v>
      </c>
      <c r="AF36" s="23">
        <f t="shared" si="24"/>
        <v>0.51269611540464188</v>
      </c>
      <c r="AG36" s="23">
        <f t="shared" si="25"/>
        <v>0.95759770315247128</v>
      </c>
      <c r="AH36" s="23">
        <f t="shared" si="26"/>
        <v>0.33897263828406077</v>
      </c>
      <c r="AI36" s="23">
        <f t="shared" si="27"/>
        <v>0.82200864783884708</v>
      </c>
      <c r="AJ36" s="23">
        <f t="shared" si="28"/>
        <v>0.47456169359768502</v>
      </c>
      <c r="AK36" s="295">
        <f t="shared" si="36"/>
        <v>8.6749946653745611E-4</v>
      </c>
      <c r="AL36" s="70">
        <f t="shared" si="29"/>
        <v>6</v>
      </c>
      <c r="AM36" s="191">
        <f t="shared" si="37"/>
        <v>0.3</v>
      </c>
      <c r="AN36" s="192">
        <f t="shared" si="43"/>
        <v>8</v>
      </c>
      <c r="AO36" s="71">
        <f t="shared" si="38"/>
        <v>0</v>
      </c>
      <c r="AP36" s="352">
        <f t="shared" si="39"/>
        <v>0</v>
      </c>
      <c r="AQ36" s="353">
        <f t="shared" si="44"/>
        <v>0</v>
      </c>
      <c r="AR36" s="353">
        <f t="shared" si="41"/>
        <v>0</v>
      </c>
    </row>
    <row r="37" spans="1:49" s="74" customFormat="1" ht="15" customHeight="1" x14ac:dyDescent="0.2">
      <c r="A37" s="63">
        <f t="shared" si="42"/>
        <v>0.39000000000000018</v>
      </c>
      <c r="B37" s="64">
        <f t="shared" si="0"/>
        <v>0.60212236210089232</v>
      </c>
      <c r="C37" s="64">
        <f t="shared" si="1"/>
        <v>2.6021223621008924</v>
      </c>
      <c r="D37" s="183">
        <f t="shared" si="2"/>
        <v>-3.897335176527295</v>
      </c>
      <c r="E37" s="64">
        <f t="shared" si="3"/>
        <v>1.5741180000000004E-2</v>
      </c>
      <c r="F37" s="65">
        <f t="shared" si="4"/>
        <v>77388.889961844106</v>
      </c>
      <c r="G37" s="65">
        <f t="shared" si="5"/>
        <v>1282.0512820512815</v>
      </c>
      <c r="H37" s="66">
        <f t="shared" si="6"/>
        <v>416.40856844030537</v>
      </c>
      <c r="I37" s="66">
        <f t="shared" si="7"/>
        <v>435.93824686359125</v>
      </c>
      <c r="J37" s="426">
        <f t="shared" si="8"/>
        <v>5.7961866149736885</v>
      </c>
      <c r="K37" s="253">
        <f t="shared" si="9"/>
        <v>0.28712651877424911</v>
      </c>
      <c r="L37" s="271">
        <f t="shared" si="10"/>
        <v>0.47977209973072199</v>
      </c>
      <c r="M37" s="272">
        <f t="shared" si="11"/>
        <v>1.4137699706621385</v>
      </c>
      <c r="N37" s="256">
        <f t="shared" si="30"/>
        <v>0</v>
      </c>
      <c r="O37" s="64">
        <f t="shared" si="12"/>
        <v>-2.4795203011971693E-2</v>
      </c>
      <c r="P37" s="64">
        <f t="shared" si="13"/>
        <v>1.3037913579866465E-4</v>
      </c>
      <c r="Q37" s="64">
        <f t="shared" si="14"/>
        <v>1.8278720687115558E-6</v>
      </c>
      <c r="R37" s="271">
        <f t="shared" si="31"/>
        <v>3.0580283941831632</v>
      </c>
      <c r="S37" s="64">
        <f t="shared" si="32"/>
        <v>1.3285380621037712</v>
      </c>
      <c r="T37" s="344">
        <f t="shared" si="33"/>
        <v>11.564649360964307</v>
      </c>
      <c r="U37" s="279">
        <f t="shared" si="34"/>
        <v>12.785773750669971</v>
      </c>
      <c r="V37" s="168">
        <f t="shared" si="15"/>
        <v>10.962526998863414</v>
      </c>
      <c r="W37" s="184">
        <f t="shared" si="16"/>
        <v>-5.5646493609643066</v>
      </c>
      <c r="X37" s="457">
        <f t="shared" si="17"/>
        <v>-13.04366251478357</v>
      </c>
      <c r="Y37" s="72">
        <f t="shared" si="18"/>
        <v>0.63606290125416809</v>
      </c>
      <c r="Z37" s="73">
        <f t="shared" si="19"/>
        <v>0.63162892753576416</v>
      </c>
      <c r="AA37" s="301">
        <f t="shared" si="35"/>
        <v>0.23572417721698402</v>
      </c>
      <c r="AB37" s="69">
        <f t="shared" si="20"/>
        <v>0.24641587693685874</v>
      </c>
      <c r="AC37" s="68">
        <f t="shared" si="21"/>
        <v>0.1779474174856821</v>
      </c>
      <c r="AD37" s="68">
        <f t="shared" si="22"/>
        <v>0.23572417721698402</v>
      </c>
      <c r="AE37" s="23">
        <f t="shared" si="23"/>
        <v>0.76909566491517045</v>
      </c>
      <c r="AF37" s="23">
        <f t="shared" si="24"/>
        <v>0.50303013759316562</v>
      </c>
      <c r="AG37" s="23">
        <f t="shared" si="25"/>
        <v>0.93954389335582977</v>
      </c>
      <c r="AH37" s="23">
        <f t="shared" si="26"/>
        <v>0.33258190915250624</v>
      </c>
      <c r="AI37" s="23">
        <f t="shared" si="27"/>
        <v>0.80651112969482741</v>
      </c>
      <c r="AJ37" s="23">
        <f t="shared" si="28"/>
        <v>0.46561467281350866</v>
      </c>
      <c r="AK37" s="295">
        <f t="shared" si="36"/>
        <v>8.4767671169061443E-4</v>
      </c>
      <c r="AL37" s="70">
        <f t="shared" si="29"/>
        <v>6</v>
      </c>
      <c r="AM37" s="191">
        <f t="shared" si="37"/>
        <v>0.3</v>
      </c>
      <c r="AN37" s="192">
        <f t="shared" si="43"/>
        <v>8</v>
      </c>
      <c r="AO37" s="71">
        <f t="shared" si="38"/>
        <v>0</v>
      </c>
      <c r="AP37" s="352">
        <f t="shared" si="39"/>
        <v>0</v>
      </c>
      <c r="AQ37" s="353">
        <f t="shared" si="44"/>
        <v>0</v>
      </c>
      <c r="AR37" s="353">
        <f t="shared" si="41"/>
        <v>0</v>
      </c>
    </row>
    <row r="38" spans="1:49" s="85" customFormat="1" ht="15" customHeight="1" x14ac:dyDescent="0.25">
      <c r="A38" s="75">
        <f t="shared" si="42"/>
        <v>0.40000000000000019</v>
      </c>
      <c r="B38" s="76">
        <f t="shared" si="0"/>
        <v>0.61756139702655621</v>
      </c>
      <c r="C38" s="76">
        <f t="shared" si="1"/>
        <v>2.6175613970265563</v>
      </c>
      <c r="D38" s="185">
        <f t="shared" si="2"/>
        <v>-3.9972668477203026</v>
      </c>
      <c r="E38" s="76">
        <f t="shared" si="3"/>
        <v>1.6144800000000004E-2</v>
      </c>
      <c r="F38" s="77">
        <f t="shared" si="4"/>
        <v>75454.167712797993</v>
      </c>
      <c r="G38" s="77">
        <f t="shared" si="5"/>
        <v>1249.9999999999993</v>
      </c>
      <c r="H38" s="78">
        <f t="shared" si="6"/>
        <v>425.06321176695354</v>
      </c>
      <c r="I38" s="78">
        <f t="shared" si="7"/>
        <v>444.21255408377971</v>
      </c>
      <c r="J38" s="427">
        <f t="shared" si="8"/>
        <v>6.1033342744247232</v>
      </c>
      <c r="K38" s="254">
        <f t="shared" si="9"/>
        <v>0.29599218169775909</v>
      </c>
      <c r="L38" s="257">
        <f t="shared" si="10"/>
        <v>0.49498586125594546</v>
      </c>
      <c r="M38" s="273">
        <f t="shared" si="11"/>
        <v>1.4688752287961186</v>
      </c>
      <c r="N38" s="270">
        <f t="shared" si="30"/>
        <v>0</v>
      </c>
      <c r="O38" s="76">
        <f t="shared" si="12"/>
        <v>-2.5430977448176094E-2</v>
      </c>
      <c r="P38" s="76">
        <f t="shared" si="13"/>
        <v>1.3714877513933612E-4</v>
      </c>
      <c r="Q38" s="76">
        <f t="shared" si="14"/>
        <v>2.0226162237850911E-6</v>
      </c>
      <c r="R38" s="257">
        <f t="shared" si="31"/>
        <v>4.2188187005122781</v>
      </c>
      <c r="S38" s="76">
        <f t="shared" si="32"/>
        <v>4.7106757780127255</v>
      </c>
      <c r="T38" s="283">
        <f t="shared" si="33"/>
        <v>16.445378033848453</v>
      </c>
      <c r="U38" s="280">
        <f t="shared" si="34"/>
        <v>17.715259583086386</v>
      </c>
      <c r="V38" s="186">
        <f t="shared" si="15"/>
        <v>15.827816636821897</v>
      </c>
      <c r="W38" s="187">
        <f t="shared" si="16"/>
        <v>-10.445378033848453</v>
      </c>
      <c r="X38" s="458">
        <f t="shared" si="17"/>
        <v>-15.910960908736978</v>
      </c>
      <c r="Y38" s="80">
        <f t="shared" si="18"/>
        <v>0.6242150149034621</v>
      </c>
      <c r="Z38" s="83">
        <f t="shared" si="19"/>
        <v>0.62264125241510526</v>
      </c>
      <c r="AA38" s="300">
        <f t="shared" si="35"/>
        <v>0.21886080205109426</v>
      </c>
      <c r="AB38" s="79">
        <f t="shared" si="20"/>
        <v>0.22912229691725461</v>
      </c>
      <c r="AC38" s="80">
        <f t="shared" si="21"/>
        <v>0.16337282977380685</v>
      </c>
      <c r="AD38" s="80">
        <f t="shared" si="22"/>
        <v>0.21886080205109426</v>
      </c>
      <c r="AE38" s="84">
        <f t="shared" si="23"/>
        <v>0.75476978926235616</v>
      </c>
      <c r="AF38" s="84">
        <f t="shared" si="24"/>
        <v>0.49366024054456814</v>
      </c>
      <c r="AG38" s="84">
        <f t="shared" si="25"/>
        <v>0.92204309390968908</v>
      </c>
      <c r="AH38" s="84">
        <f t="shared" si="26"/>
        <v>0.32638693589723516</v>
      </c>
      <c r="AI38" s="84">
        <f t="shared" si="27"/>
        <v>0.79148831955079513</v>
      </c>
      <c r="AJ38" s="84">
        <f t="shared" si="28"/>
        <v>0.45694171025612923</v>
      </c>
      <c r="AK38" s="387">
        <f t="shared" si="36"/>
        <v>8.2868847468080774E-4</v>
      </c>
      <c r="AL38" s="81">
        <f t="shared" si="29"/>
        <v>6</v>
      </c>
      <c r="AM38" s="194">
        <f t="shared" si="37"/>
        <v>0.3</v>
      </c>
      <c r="AN38" s="195">
        <f>ROUNDUP(L6,0)</f>
        <v>8</v>
      </c>
      <c r="AO38" s="82">
        <f t="shared" si="38"/>
        <v>0</v>
      </c>
      <c r="AP38" s="354">
        <f t="shared" si="39"/>
        <v>0</v>
      </c>
      <c r="AQ38" s="351">
        <f t="shared" si="44"/>
        <v>0</v>
      </c>
      <c r="AR38" s="351">
        <f t="shared" si="41"/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0.16924089957555832</v>
      </c>
      <c r="AP39" s="355">
        <f>SUM(AP18:AP38)</f>
        <v>364.41060396435813</v>
      </c>
      <c r="AQ39" s="356">
        <f>SUM(AQ18:AQ38)</f>
        <v>0.95390762004788121</v>
      </c>
      <c r="AR39" s="356">
        <f>SUM(AR18:AR38)</f>
        <v>0.55070955384207587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45">0.5+(-0.5+Z41)*$Y$44</f>
        <v>-0.28431372549019618</v>
      </c>
      <c r="AB41" s="294">
        <f t="shared" ref="AB41:AB69" si="46">MAX(MIN(B_1*Tb_eff*($AA41)/(SQRT(2)*$AG$9),10),-10)</f>
        <v>-0.68561571726556803</v>
      </c>
      <c r="AC41" s="294">
        <f t="shared" ref="AC41:AC69" si="47">MAX(MIN(B_1*Tb_eff*(1-$AA41)/(SQRT(2)*$AG$9),10),-10)</f>
        <v>3.097091688337565</v>
      </c>
      <c r="AD41" s="315">
        <f t="shared" ref="AD41:AD69" si="48">(ERF(AB41)+1)/2</f>
        <v>0.1661211997477241</v>
      </c>
      <c r="AE41" s="315">
        <f t="shared" ref="AE41:AE69" si="49">(ERF(AC41)+1)/2</f>
        <v>0.99999406464749074</v>
      </c>
      <c r="AF41" s="316">
        <f t="shared" ref="AF41:AF69" si="50">AD41+AE41-1</f>
        <v>0.16611526439521485</v>
      </c>
      <c r="AG41" s="316">
        <f t="shared" ref="AG41:AG69" si="51">1-AD41</f>
        <v>0.8338788002522759</v>
      </c>
      <c r="AH41" s="316">
        <f t="shared" ref="AH41:AH69" si="52">1-AE41</f>
        <v>5.9353525092564752E-6</v>
      </c>
      <c r="AI41" s="316">
        <f t="shared" ref="AI41:AI69" si="53">1-AF41</f>
        <v>0.83388473560478515</v>
      </c>
      <c r="AJ41" s="294">
        <f t="shared" ref="AJ41:AJ69" si="54">Z41-1</f>
        <v>-1.25</v>
      </c>
      <c r="AK41" s="294">
        <f t="shared" ref="AK41:AK69" si="55">Z41+1</f>
        <v>0.75</v>
      </c>
      <c r="AL41" s="294">
        <f t="shared" ref="AL41:AL69" si="56">$Z41-$G$9/(2*$Y$44)</f>
        <v>-0.37812499999999999</v>
      </c>
      <c r="AM41" s="313">
        <f t="shared" ref="AM41:AM69" si="57">$Z41+$G$9/(2*$Y$44)</f>
        <v>-0.12187500000000001</v>
      </c>
      <c r="AN41" s="294">
        <f>$C$12</f>
        <v>0.3</v>
      </c>
      <c r="AO41" s="296">
        <v>0.5</v>
      </c>
      <c r="AP41" s="314">
        <f t="shared" ref="AP41:AP69" si="58">MAX(MIN(B_1*Tb_eff*($AA41)/(SQRT(2)*$AP$39),10),-10)</f>
        <v>-0.43267505242843846</v>
      </c>
      <c r="AQ41" s="294">
        <f t="shared" ref="AQ41:AQ69" si="59">MAX(MIN(B_1*Tb_eff*(1-$AA41)/(SQRT(2)*$AP$39),10),-10)</f>
        <v>1.9544976506250147</v>
      </c>
      <c r="AR41" s="315">
        <f t="shared" ref="AR41:AR69" si="60">(ERF(AP41)+1)/2</f>
        <v>0.27030363903640242</v>
      </c>
      <c r="AS41" s="315">
        <f t="shared" ref="AS41:AS69" si="61">(ERF(AQ41)+1)/2</f>
        <v>0.99714579740073694</v>
      </c>
      <c r="AT41" s="316">
        <f t="shared" ref="AT41:AT69" si="62">AR41+AS41-1</f>
        <v>0.26744943643713937</v>
      </c>
      <c r="AU41" s="316">
        <f t="shared" ref="AU41:AU69" si="63">1-AR41</f>
        <v>0.72969636096359758</v>
      </c>
      <c r="AV41" s="316">
        <f t="shared" ref="AV41:AV69" si="64">1-AS41</f>
        <v>2.854202599263056E-3</v>
      </c>
      <c r="AW41" s="338">
        <f t="shared" ref="AW41:AW69" si="65">1-AT41</f>
        <v>0.73255056356286063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6">Z41+$Y$42</f>
        <v>-0.2</v>
      </c>
      <c r="AA42" s="294">
        <f t="shared" si="45"/>
        <v>-0.23202614379084963</v>
      </c>
      <c r="AB42" s="294">
        <f t="shared" si="46"/>
        <v>-0.55952547041212986</v>
      </c>
      <c r="AC42" s="294">
        <f t="shared" si="47"/>
        <v>2.9710014414841273</v>
      </c>
      <c r="AD42" s="315">
        <f t="shared" si="48"/>
        <v>0.2143878262740147</v>
      </c>
      <c r="AE42" s="315">
        <f t="shared" si="49"/>
        <v>0.99998675003118498</v>
      </c>
      <c r="AF42" s="316">
        <f t="shared" si="50"/>
        <v>0.21437457630519963</v>
      </c>
      <c r="AG42" s="316">
        <f t="shared" si="51"/>
        <v>0.78561217372598535</v>
      </c>
      <c r="AH42" s="316">
        <f t="shared" si="52"/>
        <v>1.3249968815021163E-5</v>
      </c>
      <c r="AI42" s="316">
        <f t="shared" si="53"/>
        <v>0.78562542369480037</v>
      </c>
      <c r="AJ42" s="294">
        <f t="shared" si="54"/>
        <v>-1.2</v>
      </c>
      <c r="AK42" s="294">
        <f t="shared" si="55"/>
        <v>0.8</v>
      </c>
      <c r="AL42" s="294">
        <f t="shared" si="56"/>
        <v>-0.328125</v>
      </c>
      <c r="AM42" s="313">
        <f t="shared" si="57"/>
        <v>-7.1875000000000022E-2</v>
      </c>
      <c r="AN42" s="294">
        <f>$C$13</f>
        <v>0.4</v>
      </c>
      <c r="AO42" s="296">
        <f>$C$14</f>
        <v>0.25</v>
      </c>
      <c r="AP42" s="314">
        <f t="shared" si="58"/>
        <v>-0.35310262899332312</v>
      </c>
      <c r="AQ42" s="294">
        <f t="shared" si="59"/>
        <v>1.8749252271898995</v>
      </c>
      <c r="AR42" s="315">
        <f t="shared" si="60"/>
        <v>0.30876200668117149</v>
      </c>
      <c r="AS42" s="315">
        <f t="shared" si="61"/>
        <v>0.99599377450128501</v>
      </c>
      <c r="AT42" s="316">
        <f t="shared" si="62"/>
        <v>0.30475578118245661</v>
      </c>
      <c r="AU42" s="316">
        <f t="shared" si="63"/>
        <v>0.69123799331882851</v>
      </c>
      <c r="AV42" s="316">
        <f t="shared" si="64"/>
        <v>4.0062254987149881E-3</v>
      </c>
      <c r="AW42" s="338">
        <f t="shared" si="65"/>
        <v>0.69524421881754339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6"/>
        <v>-0.15000000000000002</v>
      </c>
      <c r="AA43" s="294">
        <f t="shared" si="45"/>
        <v>-0.1797385620915033</v>
      </c>
      <c r="AB43" s="294">
        <f t="shared" si="46"/>
        <v>-0.43343522355869235</v>
      </c>
      <c r="AC43" s="294">
        <f t="shared" si="47"/>
        <v>2.8449111946306895</v>
      </c>
      <c r="AD43" s="315">
        <f t="shared" si="48"/>
        <v>0.26994809758108018</v>
      </c>
      <c r="AE43" s="315">
        <f t="shared" si="49"/>
        <v>0.99997130730220962</v>
      </c>
      <c r="AF43" s="316">
        <f t="shared" si="50"/>
        <v>0.2699194048832898</v>
      </c>
      <c r="AG43" s="316">
        <f t="shared" si="51"/>
        <v>0.73005190241891982</v>
      </c>
      <c r="AH43" s="316">
        <f t="shared" si="52"/>
        <v>2.8692697790377863E-5</v>
      </c>
      <c r="AI43" s="316">
        <f t="shared" si="53"/>
        <v>0.7300805951167102</v>
      </c>
      <c r="AJ43" s="294">
        <f t="shared" si="54"/>
        <v>-1.1499999999999999</v>
      </c>
      <c r="AK43" s="294">
        <f t="shared" si="55"/>
        <v>0.85</v>
      </c>
      <c r="AL43" s="294">
        <f t="shared" si="56"/>
        <v>-0.27812500000000001</v>
      </c>
      <c r="AM43" s="313">
        <f t="shared" si="57"/>
        <v>-2.1875000000000033E-2</v>
      </c>
      <c r="AN43" s="294">
        <f>1-AN42</f>
        <v>0.6</v>
      </c>
      <c r="AO43" s="296">
        <f>$C$14</f>
        <v>0.25</v>
      </c>
      <c r="AP43" s="314">
        <f t="shared" si="58"/>
        <v>-0.27353020555820817</v>
      </c>
      <c r="AQ43" s="294">
        <f t="shared" si="59"/>
        <v>1.7953528037547843</v>
      </c>
      <c r="AR43" s="315">
        <f t="shared" si="60"/>
        <v>0.34944098625283215</v>
      </c>
      <c r="AS43" s="315">
        <f t="shared" si="61"/>
        <v>0.99444170400567378</v>
      </c>
      <c r="AT43" s="316">
        <f t="shared" si="62"/>
        <v>0.34388269025850593</v>
      </c>
      <c r="AU43" s="316">
        <f t="shared" si="63"/>
        <v>0.65055901374716785</v>
      </c>
      <c r="AV43" s="316">
        <f t="shared" si="64"/>
        <v>5.5582959943262233E-3</v>
      </c>
      <c r="AW43" s="338">
        <f t="shared" si="65"/>
        <v>0.65611730974149407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6"/>
        <v>-0.10000000000000002</v>
      </c>
      <c r="AA44" s="294">
        <f t="shared" si="45"/>
        <v>-0.12745098039215685</v>
      </c>
      <c r="AB44" s="294">
        <f t="shared" si="46"/>
        <v>-0.30734497670525451</v>
      </c>
      <c r="AC44" s="294">
        <f t="shared" si="47"/>
        <v>2.7188209477772514</v>
      </c>
      <c r="AD44" s="315">
        <f t="shared" si="48"/>
        <v>0.33190772750151137</v>
      </c>
      <c r="AE44" s="315">
        <f t="shared" si="49"/>
        <v>0.99993972217263205</v>
      </c>
      <c r="AF44" s="316">
        <f t="shared" si="50"/>
        <v>0.33184744967414348</v>
      </c>
      <c r="AG44" s="316">
        <f t="shared" si="51"/>
        <v>0.66809227249848857</v>
      </c>
      <c r="AH44" s="316">
        <f t="shared" si="52"/>
        <v>6.0277827367949399E-5</v>
      </c>
      <c r="AI44" s="316">
        <f t="shared" si="53"/>
        <v>0.66815255032585652</v>
      </c>
      <c r="AJ44" s="294">
        <f t="shared" si="54"/>
        <v>-1.1000000000000001</v>
      </c>
      <c r="AK44" s="294">
        <f t="shared" si="55"/>
        <v>0.9</v>
      </c>
      <c r="AL44" s="294">
        <f t="shared" si="56"/>
        <v>-0.22812500000000002</v>
      </c>
      <c r="AM44" s="313">
        <f t="shared" si="57"/>
        <v>2.8124999999999969E-2</v>
      </c>
      <c r="AN44" s="294">
        <f>1-AN41</f>
        <v>0.7</v>
      </c>
      <c r="AO44" s="296">
        <v>0.5</v>
      </c>
      <c r="AP44" s="314">
        <f t="shared" si="58"/>
        <v>-0.19395778212309303</v>
      </c>
      <c r="AQ44" s="294">
        <f t="shared" si="59"/>
        <v>1.7157803803196692</v>
      </c>
      <c r="AR44" s="315">
        <f t="shared" si="60"/>
        <v>0.39192791595308479</v>
      </c>
      <c r="AS44" s="315">
        <f t="shared" si="61"/>
        <v>0.99237695224490097</v>
      </c>
      <c r="AT44" s="316">
        <f t="shared" si="62"/>
        <v>0.38430486819798571</v>
      </c>
      <c r="AU44" s="316">
        <f t="shared" si="63"/>
        <v>0.60807208404691515</v>
      </c>
      <c r="AV44" s="316">
        <f t="shared" si="64"/>
        <v>7.6230477550990328E-3</v>
      </c>
      <c r="AW44" s="338">
        <f t="shared" si="65"/>
        <v>0.61569513180201429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6"/>
        <v>-5.0000000000000017E-2</v>
      </c>
      <c r="AA45" s="294">
        <f t="shared" si="45"/>
        <v>-7.5163398692810524E-2</v>
      </c>
      <c r="AB45" s="294">
        <f t="shared" si="46"/>
        <v>-0.18125472985181693</v>
      </c>
      <c r="AC45" s="294">
        <f t="shared" si="47"/>
        <v>2.5927307009238145</v>
      </c>
      <c r="AD45" s="315">
        <f t="shared" si="48"/>
        <v>0.3988468986523851</v>
      </c>
      <c r="AE45" s="315">
        <f t="shared" si="49"/>
        <v>0.99987713757420615</v>
      </c>
      <c r="AF45" s="316">
        <f t="shared" si="50"/>
        <v>0.39872403622659114</v>
      </c>
      <c r="AG45" s="316">
        <f t="shared" si="51"/>
        <v>0.6011531013476149</v>
      </c>
      <c r="AH45" s="316">
        <f t="shared" si="52"/>
        <v>1.2286242579384599E-4</v>
      </c>
      <c r="AI45" s="316">
        <f t="shared" si="53"/>
        <v>0.60127596377340886</v>
      </c>
      <c r="AJ45" s="294">
        <f t="shared" si="54"/>
        <v>-1.05</v>
      </c>
      <c r="AK45" s="294">
        <f t="shared" si="55"/>
        <v>0.95</v>
      </c>
      <c r="AL45" s="294">
        <f t="shared" si="56"/>
        <v>-0.17812500000000001</v>
      </c>
      <c r="AM45" s="313">
        <f t="shared" si="57"/>
        <v>7.8124999999999972E-2</v>
      </c>
      <c r="AN45" s="294">
        <f>AN43</f>
        <v>0.6</v>
      </c>
      <c r="AO45" s="296">
        <f>1-$C$14</f>
        <v>0.75</v>
      </c>
      <c r="AP45" s="314">
        <f t="shared" si="58"/>
        <v>-0.11438535868797806</v>
      </c>
      <c r="AQ45" s="294">
        <f t="shared" si="59"/>
        <v>1.6362079568845544</v>
      </c>
      <c r="AR45" s="315">
        <f t="shared" si="60"/>
        <v>0.43574532975656177</v>
      </c>
      <c r="AS45" s="315">
        <f t="shared" si="61"/>
        <v>0.98966469848536542</v>
      </c>
      <c r="AT45" s="316">
        <f t="shared" si="62"/>
        <v>0.42541002824192731</v>
      </c>
      <c r="AU45" s="316">
        <f t="shared" si="63"/>
        <v>0.56425467024343823</v>
      </c>
      <c r="AV45" s="316">
        <f t="shared" si="64"/>
        <v>1.0335301514634576E-2</v>
      </c>
      <c r="AW45" s="338">
        <f t="shared" si="65"/>
        <v>0.57458997175807269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6"/>
        <v>0</v>
      </c>
      <c r="AA46" s="294">
        <f t="shared" si="45"/>
        <v>-2.2875816993464082E-2</v>
      </c>
      <c r="AB46" s="294">
        <f t="shared" si="46"/>
        <v>-5.5164482998379089E-2</v>
      </c>
      <c r="AC46" s="294">
        <f t="shared" si="47"/>
        <v>2.4666404540703759</v>
      </c>
      <c r="AD46" s="315">
        <f t="shared" si="48"/>
        <v>0.46890831508258835</v>
      </c>
      <c r="AE46" s="315">
        <f t="shared" si="49"/>
        <v>0.99975700008612611</v>
      </c>
      <c r="AF46" s="316">
        <f t="shared" si="50"/>
        <v>0.46866531516871435</v>
      </c>
      <c r="AG46" s="316">
        <f t="shared" si="51"/>
        <v>0.53109168491741165</v>
      </c>
      <c r="AH46" s="316">
        <f t="shared" si="52"/>
        <v>2.4299991387388697E-4</v>
      </c>
      <c r="AI46" s="316">
        <f t="shared" si="53"/>
        <v>0.53133468483128565</v>
      </c>
      <c r="AJ46" s="294">
        <f t="shared" si="54"/>
        <v>-1</v>
      </c>
      <c r="AK46" s="294">
        <f t="shared" si="55"/>
        <v>1</v>
      </c>
      <c r="AL46" s="294">
        <f t="shared" si="56"/>
        <v>-0.12812499999999999</v>
      </c>
      <c r="AM46" s="313">
        <f t="shared" si="57"/>
        <v>0.12812499999999999</v>
      </c>
      <c r="AN46" s="294">
        <f>AN42</f>
        <v>0.4</v>
      </c>
      <c r="AO46" s="296">
        <f>AO45</f>
        <v>0.75</v>
      </c>
      <c r="AP46" s="314">
        <f t="shared" si="58"/>
        <v>-3.48129352528629E-2</v>
      </c>
      <c r="AQ46" s="294">
        <f t="shared" si="59"/>
        <v>1.5566355334494388</v>
      </c>
      <c r="AR46" s="315">
        <f t="shared" si="60"/>
        <v>0.48036683628631555</v>
      </c>
      <c r="AS46" s="315">
        <f t="shared" si="61"/>
        <v>0.98614667390667621</v>
      </c>
      <c r="AT46" s="316">
        <f t="shared" si="62"/>
        <v>0.46651351019299181</v>
      </c>
      <c r="AU46" s="316">
        <f t="shared" si="63"/>
        <v>0.5196331637136844</v>
      </c>
      <c r="AV46" s="316">
        <f t="shared" si="64"/>
        <v>1.3853326093323792E-2</v>
      </c>
      <c r="AW46" s="338">
        <f t="shared" si="65"/>
        <v>0.53348648980700819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6"/>
        <v>0.05</v>
      </c>
      <c r="AA47" s="294">
        <f t="shared" si="45"/>
        <v>2.9411764705882304E-2</v>
      </c>
      <c r="AB47" s="294">
        <f t="shared" si="46"/>
        <v>7.092576385505861E-2</v>
      </c>
      <c r="AC47" s="294">
        <f t="shared" si="47"/>
        <v>2.3405502072169386</v>
      </c>
      <c r="AD47" s="315">
        <f t="shared" si="48"/>
        <v>0.53994857933953655</v>
      </c>
      <c r="AE47" s="315">
        <f t="shared" si="49"/>
        <v>0.99953358321366381</v>
      </c>
      <c r="AF47" s="316">
        <f t="shared" si="50"/>
        <v>0.53948216255320025</v>
      </c>
      <c r="AG47" s="316">
        <f t="shared" si="51"/>
        <v>0.46005142066046345</v>
      </c>
      <c r="AH47" s="316">
        <f t="shared" si="52"/>
        <v>4.6641678633618788E-4</v>
      </c>
      <c r="AI47" s="316">
        <f t="shared" si="53"/>
        <v>0.46051783744679975</v>
      </c>
      <c r="AJ47" s="294">
        <f t="shared" si="54"/>
        <v>-0.95</v>
      </c>
      <c r="AK47" s="294">
        <f t="shared" si="55"/>
        <v>1.05</v>
      </c>
      <c r="AL47" s="294">
        <f t="shared" si="56"/>
        <v>-7.8124999999999986E-2</v>
      </c>
      <c r="AM47" s="313">
        <f t="shared" si="57"/>
        <v>0.17812499999999998</v>
      </c>
      <c r="AN47" s="319">
        <f>AN41</f>
        <v>0.3</v>
      </c>
      <c r="AO47" s="337">
        <v>0.5</v>
      </c>
      <c r="AP47" s="314">
        <f t="shared" si="58"/>
        <v>4.4759488182252165E-2</v>
      </c>
      <c r="AQ47" s="294">
        <f t="shared" si="59"/>
        <v>1.4770631100143241</v>
      </c>
      <c r="AR47" s="315">
        <f t="shared" si="60"/>
        <v>0.52523598318442377</v>
      </c>
      <c r="AS47" s="315">
        <f t="shared" si="61"/>
        <v>0.98164085746463114</v>
      </c>
      <c r="AT47" s="316">
        <f t="shared" si="62"/>
        <v>0.50687684064905492</v>
      </c>
      <c r="AU47" s="316">
        <f t="shared" si="63"/>
        <v>0.47476401681557623</v>
      </c>
      <c r="AV47" s="316">
        <f t="shared" si="64"/>
        <v>1.8359142535368855E-2</v>
      </c>
      <c r="AW47" s="338">
        <f t="shared" si="65"/>
        <v>0.49312315935094508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6"/>
        <v>0.1</v>
      </c>
      <c r="AA48" s="294">
        <f t="shared" si="45"/>
        <v>8.169934640522869E-2</v>
      </c>
      <c r="AB48" s="294">
        <f t="shared" si="46"/>
        <v>0.19701601070849631</v>
      </c>
      <c r="AC48" s="294">
        <f t="shared" si="47"/>
        <v>2.2144599603635009</v>
      </c>
      <c r="AD48" s="315">
        <f t="shared" si="48"/>
        <v>0.6097328103941777</v>
      </c>
      <c r="AE48" s="315">
        <f t="shared" si="49"/>
        <v>0.99913107031472692</v>
      </c>
      <c r="AF48" s="316">
        <f t="shared" si="50"/>
        <v>0.60886388070890463</v>
      </c>
      <c r="AG48" s="316">
        <f t="shared" si="51"/>
        <v>0.3902671896058223</v>
      </c>
      <c r="AH48" s="316">
        <f t="shared" si="52"/>
        <v>8.6892968527307879E-4</v>
      </c>
      <c r="AI48" s="316">
        <f t="shared" si="53"/>
        <v>0.39113611929109537</v>
      </c>
      <c r="AJ48" s="294">
        <f t="shared" si="54"/>
        <v>-0.9</v>
      </c>
      <c r="AK48" s="294">
        <f t="shared" si="55"/>
        <v>1.1000000000000001</v>
      </c>
      <c r="AL48" s="294">
        <f t="shared" si="56"/>
        <v>-2.8124999999999983E-2</v>
      </c>
      <c r="AM48" s="313">
        <f t="shared" si="57"/>
        <v>0.22812499999999999</v>
      </c>
      <c r="AP48" s="314">
        <f t="shared" si="58"/>
        <v>0.12433191161736723</v>
      </c>
      <c r="AQ48" s="294">
        <f t="shared" si="59"/>
        <v>1.3974906865792089</v>
      </c>
      <c r="AR48" s="315">
        <f t="shared" si="60"/>
        <v>0.56978698669295291</v>
      </c>
      <c r="AS48" s="315">
        <f t="shared" si="61"/>
        <v>0.97594244081773285</v>
      </c>
      <c r="AT48" s="316">
        <f t="shared" si="62"/>
        <v>0.54572942751068565</v>
      </c>
      <c r="AU48" s="316">
        <f t="shared" si="63"/>
        <v>0.43021301330704709</v>
      </c>
      <c r="AV48" s="316">
        <f t="shared" si="64"/>
        <v>2.4057559182267152E-2</v>
      </c>
      <c r="AW48" s="338">
        <f t="shared" si="65"/>
        <v>0.45427057248931435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6"/>
        <v>0.15000000000000002</v>
      </c>
      <c r="AA49" s="294">
        <f t="shared" si="45"/>
        <v>0.13398692810457519</v>
      </c>
      <c r="AB49" s="294">
        <f t="shared" si="46"/>
        <v>0.32310625756193428</v>
      </c>
      <c r="AC49" s="294">
        <f t="shared" si="47"/>
        <v>2.0883697135100627</v>
      </c>
      <c r="AD49" s="315">
        <f t="shared" si="48"/>
        <v>0.67614336368882422</v>
      </c>
      <c r="AE49" s="315">
        <f t="shared" si="49"/>
        <v>0.99842853183455649</v>
      </c>
      <c r="AF49" s="316">
        <f t="shared" si="50"/>
        <v>0.67457189552338059</v>
      </c>
      <c r="AG49" s="316">
        <f t="shared" si="51"/>
        <v>0.32385663631117578</v>
      </c>
      <c r="AH49" s="316">
        <f t="shared" si="52"/>
        <v>1.5714681654435125E-3</v>
      </c>
      <c r="AI49" s="316">
        <f t="shared" si="53"/>
        <v>0.32542810447661941</v>
      </c>
      <c r="AJ49" s="294">
        <f t="shared" si="54"/>
        <v>-0.85</v>
      </c>
      <c r="AK49" s="294">
        <f t="shared" si="55"/>
        <v>1.1499999999999999</v>
      </c>
      <c r="AL49" s="294">
        <f t="shared" si="56"/>
        <v>2.1875000000000033E-2</v>
      </c>
      <c r="AM49" s="313">
        <f t="shared" si="57"/>
        <v>0.27812500000000001</v>
      </c>
      <c r="AP49" s="314">
        <f t="shared" si="58"/>
        <v>0.20390433505248248</v>
      </c>
      <c r="AQ49" s="294">
        <f t="shared" si="59"/>
        <v>1.3179182631440938</v>
      </c>
      <c r="AR49" s="315">
        <f t="shared" si="60"/>
        <v>0.61346604481236389</v>
      </c>
      <c r="AS49" s="315">
        <f t="shared" si="61"/>
        <v>0.96882635814714169</v>
      </c>
      <c r="AT49" s="316">
        <f t="shared" si="62"/>
        <v>0.58229240295950557</v>
      </c>
      <c r="AU49" s="316">
        <f t="shared" si="63"/>
        <v>0.38653395518763611</v>
      </c>
      <c r="AV49" s="316">
        <f t="shared" si="64"/>
        <v>3.1173641852858314E-2</v>
      </c>
      <c r="AW49" s="338">
        <f t="shared" si="65"/>
        <v>0.41770759704049443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6"/>
        <v>0.2</v>
      </c>
      <c r="AA50" s="294">
        <f t="shared" si="45"/>
        <v>0.18627450980392157</v>
      </c>
      <c r="AB50" s="294">
        <f t="shared" si="46"/>
        <v>0.44919650441537201</v>
      </c>
      <c r="AC50" s="294">
        <f t="shared" si="47"/>
        <v>1.962279466656625</v>
      </c>
      <c r="AD50" s="315">
        <f t="shared" si="48"/>
        <v>0.73737050262632131</v>
      </c>
      <c r="AE50" s="315">
        <f t="shared" si="49"/>
        <v>0.99724061243494022</v>
      </c>
      <c r="AF50" s="316">
        <f t="shared" si="50"/>
        <v>0.73461111506126153</v>
      </c>
      <c r="AG50" s="316">
        <f t="shared" si="51"/>
        <v>0.26262949737367869</v>
      </c>
      <c r="AH50" s="316">
        <f t="shared" si="52"/>
        <v>2.7593875650597788E-3</v>
      </c>
      <c r="AI50" s="316">
        <f t="shared" si="53"/>
        <v>0.26538888493873847</v>
      </c>
      <c r="AJ50" s="294">
        <f t="shared" si="54"/>
        <v>-0.8</v>
      </c>
      <c r="AK50" s="294">
        <f t="shared" si="55"/>
        <v>1.2</v>
      </c>
      <c r="AL50" s="294">
        <f t="shared" si="56"/>
        <v>7.1875000000000022E-2</v>
      </c>
      <c r="AM50" s="313">
        <f t="shared" si="57"/>
        <v>0.328125</v>
      </c>
      <c r="AP50" s="314">
        <f t="shared" si="58"/>
        <v>0.28347675848759751</v>
      </c>
      <c r="AQ50" s="294">
        <f t="shared" si="59"/>
        <v>1.2383458397089786</v>
      </c>
      <c r="AR50" s="315">
        <f t="shared" si="60"/>
        <v>0.65575190152289253</v>
      </c>
      <c r="AS50" s="315">
        <f t="shared" si="61"/>
        <v>0.96005162634112962</v>
      </c>
      <c r="AT50" s="316">
        <f t="shared" si="62"/>
        <v>0.61580352786402215</v>
      </c>
      <c r="AU50" s="316">
        <f t="shared" si="63"/>
        <v>0.34424809847710747</v>
      </c>
      <c r="AV50" s="316">
        <f t="shared" si="64"/>
        <v>3.9948373658870384E-2</v>
      </c>
      <c r="AW50" s="338">
        <f t="shared" si="65"/>
        <v>0.38419647213597785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6"/>
        <v>0.25</v>
      </c>
      <c r="AA51" s="294">
        <f t="shared" si="45"/>
        <v>0.23856209150326796</v>
      </c>
      <c r="AB51" s="294">
        <f t="shared" si="46"/>
        <v>0.57528675126880968</v>
      </c>
      <c r="AC51" s="294">
        <f t="shared" si="47"/>
        <v>1.8361892198031871</v>
      </c>
      <c r="AD51" s="315">
        <f t="shared" si="48"/>
        <v>0.79205672070947353</v>
      </c>
      <c r="AE51" s="315">
        <f t="shared" si="49"/>
        <v>0.99529466799721689</v>
      </c>
      <c r="AF51" s="316">
        <f t="shared" si="50"/>
        <v>0.78735138870669052</v>
      </c>
      <c r="AG51" s="316">
        <f t="shared" si="51"/>
        <v>0.20794327929052647</v>
      </c>
      <c r="AH51" s="316">
        <f t="shared" si="52"/>
        <v>4.7053320027831136E-3</v>
      </c>
      <c r="AI51" s="316">
        <f t="shared" si="53"/>
        <v>0.21264861129330948</v>
      </c>
      <c r="AJ51" s="294">
        <f t="shared" si="54"/>
        <v>-0.75</v>
      </c>
      <c r="AK51" s="294">
        <f t="shared" si="55"/>
        <v>1.25</v>
      </c>
      <c r="AL51" s="294">
        <f t="shared" si="56"/>
        <v>0.12187500000000001</v>
      </c>
      <c r="AM51" s="313">
        <f t="shared" si="57"/>
        <v>0.37812499999999999</v>
      </c>
      <c r="AP51" s="314">
        <f t="shared" si="58"/>
        <v>0.36304918192271257</v>
      </c>
      <c r="AQ51" s="294">
        <f t="shared" si="59"/>
        <v>1.1587734162738634</v>
      </c>
      <c r="AR51" s="315">
        <f t="shared" si="60"/>
        <v>0.69617439481953425</v>
      </c>
      <c r="AS51" s="315">
        <f t="shared" si="61"/>
        <v>0.94936765286101932</v>
      </c>
      <c r="AT51" s="316">
        <f t="shared" si="62"/>
        <v>0.64554204768055357</v>
      </c>
      <c r="AU51" s="316">
        <f t="shared" si="63"/>
        <v>0.30382560518046575</v>
      </c>
      <c r="AV51" s="316">
        <f t="shared" si="64"/>
        <v>5.0632347138980682E-2</v>
      </c>
      <c r="AW51" s="338">
        <f t="shared" si="65"/>
        <v>0.35445795231944643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6"/>
        <v>0.3</v>
      </c>
      <c r="AA52" s="294">
        <f t="shared" si="45"/>
        <v>0.29084967320261434</v>
      </c>
      <c r="AB52" s="294">
        <f t="shared" si="46"/>
        <v>0.70137699812224741</v>
      </c>
      <c r="AC52" s="294">
        <f t="shared" si="47"/>
        <v>1.7100989729497496</v>
      </c>
      <c r="AD52" s="315">
        <f t="shared" si="48"/>
        <v>0.83937608024539956</v>
      </c>
      <c r="AE52" s="315">
        <f t="shared" si="49"/>
        <v>0.99220650257298637</v>
      </c>
      <c r="AF52" s="316">
        <f t="shared" si="50"/>
        <v>0.83158258281838604</v>
      </c>
      <c r="AG52" s="316">
        <f t="shared" si="51"/>
        <v>0.16062391975460044</v>
      </c>
      <c r="AH52" s="316">
        <f t="shared" si="52"/>
        <v>7.7934974270136292E-3</v>
      </c>
      <c r="AI52" s="316">
        <f t="shared" si="53"/>
        <v>0.16841741718161396</v>
      </c>
      <c r="AJ52" s="294">
        <f t="shared" si="54"/>
        <v>-0.7</v>
      </c>
      <c r="AK52" s="294">
        <f t="shared" si="55"/>
        <v>1.3</v>
      </c>
      <c r="AL52" s="294">
        <f t="shared" si="56"/>
        <v>0.171875</v>
      </c>
      <c r="AM52" s="313">
        <f t="shared" si="57"/>
        <v>0.42812499999999998</v>
      </c>
      <c r="AP52" s="314">
        <f t="shared" si="58"/>
        <v>0.44262160535782763</v>
      </c>
      <c r="AQ52" s="294">
        <f t="shared" si="59"/>
        <v>1.0792009928387485</v>
      </c>
      <c r="AR52" s="315">
        <f t="shared" si="60"/>
        <v>0.73432989544106064</v>
      </c>
      <c r="AS52" s="315">
        <f t="shared" si="61"/>
        <v>0.93652254261482226</v>
      </c>
      <c r="AT52" s="316">
        <f t="shared" si="62"/>
        <v>0.6708524380558829</v>
      </c>
      <c r="AU52" s="316">
        <f t="shared" si="63"/>
        <v>0.26567010455893936</v>
      </c>
      <c r="AV52" s="316">
        <f t="shared" si="64"/>
        <v>6.3477457385177738E-2</v>
      </c>
      <c r="AW52" s="338">
        <f t="shared" si="65"/>
        <v>0.3291475619441171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6"/>
        <v>0.35</v>
      </c>
      <c r="AA53" s="294">
        <f t="shared" si="45"/>
        <v>0.34313725490196079</v>
      </c>
      <c r="AB53" s="294">
        <f t="shared" si="46"/>
        <v>0.82746724497568525</v>
      </c>
      <c r="AC53" s="294">
        <f t="shared" si="47"/>
        <v>1.5840087260963118</v>
      </c>
      <c r="AD53" s="315">
        <f t="shared" si="48"/>
        <v>0.87904285156793449</v>
      </c>
      <c r="AE53" s="315">
        <f t="shared" si="49"/>
        <v>0.98745864820918361</v>
      </c>
      <c r="AF53" s="316">
        <f t="shared" si="50"/>
        <v>0.8665014997771181</v>
      </c>
      <c r="AG53" s="316">
        <f t="shared" si="51"/>
        <v>0.12095714843206551</v>
      </c>
      <c r="AH53" s="316">
        <f t="shared" si="52"/>
        <v>1.2541351790816391E-2</v>
      </c>
      <c r="AI53" s="316">
        <f t="shared" si="53"/>
        <v>0.1334985002228819</v>
      </c>
      <c r="AJ53" s="294">
        <f t="shared" si="54"/>
        <v>-0.65</v>
      </c>
      <c r="AK53" s="294">
        <f t="shared" si="55"/>
        <v>1.35</v>
      </c>
      <c r="AL53" s="294">
        <f t="shared" si="56"/>
        <v>0.22187499999999999</v>
      </c>
      <c r="AM53" s="313">
        <f t="shared" si="57"/>
        <v>0.47812499999999997</v>
      </c>
      <c r="AP53" s="314">
        <f t="shared" si="58"/>
        <v>0.52219402879294285</v>
      </c>
      <c r="AQ53" s="294">
        <f t="shared" si="59"/>
        <v>0.99962856940363332</v>
      </c>
      <c r="AR53" s="315">
        <f t="shared" si="60"/>
        <v>0.76989280691289252</v>
      </c>
      <c r="AS53" s="315">
        <f t="shared" si="61"/>
        <v>0.92127327602439335</v>
      </c>
      <c r="AT53" s="316">
        <f t="shared" si="62"/>
        <v>0.69116608293728587</v>
      </c>
      <c r="AU53" s="316">
        <f t="shared" si="63"/>
        <v>0.23010719308710748</v>
      </c>
      <c r="AV53" s="316">
        <f t="shared" si="64"/>
        <v>7.8726723975606649E-2</v>
      </c>
      <c r="AW53" s="338">
        <f t="shared" si="65"/>
        <v>0.30883391706271413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6"/>
        <v>0.39999999999999997</v>
      </c>
      <c r="AA54" s="294">
        <f t="shared" si="45"/>
        <v>0.39542483660130712</v>
      </c>
      <c r="AB54" s="294">
        <f t="shared" si="46"/>
        <v>0.95355749182912275</v>
      </c>
      <c r="AC54" s="294">
        <f t="shared" si="47"/>
        <v>1.4579184792428743</v>
      </c>
      <c r="AD54" s="315">
        <f t="shared" si="48"/>
        <v>0.91125664381827243</v>
      </c>
      <c r="AE54" s="315">
        <f t="shared" si="49"/>
        <v>0.98038699454088507</v>
      </c>
      <c r="AF54" s="316">
        <f t="shared" si="50"/>
        <v>0.8916436383591575</v>
      </c>
      <c r="AG54" s="316">
        <f t="shared" si="51"/>
        <v>8.8743356181727573E-2</v>
      </c>
      <c r="AH54" s="316">
        <f t="shared" si="52"/>
        <v>1.9613005459114929E-2</v>
      </c>
      <c r="AI54" s="316">
        <f t="shared" si="53"/>
        <v>0.1083563616408425</v>
      </c>
      <c r="AJ54" s="294">
        <f t="shared" si="54"/>
        <v>-0.60000000000000009</v>
      </c>
      <c r="AK54" s="294">
        <f t="shared" si="55"/>
        <v>1.4</v>
      </c>
      <c r="AL54" s="294">
        <f t="shared" si="56"/>
        <v>0.27187499999999998</v>
      </c>
      <c r="AM54" s="313">
        <f t="shared" si="57"/>
        <v>0.52812499999999996</v>
      </c>
      <c r="AP54" s="314">
        <f t="shared" si="58"/>
        <v>0.6017664522280578</v>
      </c>
      <c r="AQ54" s="294">
        <f t="shared" si="59"/>
        <v>0.92005614596851837</v>
      </c>
      <c r="AR54" s="315">
        <f t="shared" si="60"/>
        <v>0.8026226222359929</v>
      </c>
      <c r="AS54" s="315">
        <f t="shared" si="61"/>
        <v>0.90339744811123823</v>
      </c>
      <c r="AT54" s="316">
        <f t="shared" si="62"/>
        <v>0.70602007034723124</v>
      </c>
      <c r="AU54" s="316">
        <f t="shared" si="63"/>
        <v>0.1973773777640071</v>
      </c>
      <c r="AV54" s="316">
        <f t="shared" si="64"/>
        <v>9.6602551888761767E-2</v>
      </c>
      <c r="AW54" s="338">
        <f t="shared" si="65"/>
        <v>0.29397992965276876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6"/>
        <v>0.44999999999999996</v>
      </c>
      <c r="AA55" s="294">
        <f t="shared" si="45"/>
        <v>0.44771241830065356</v>
      </c>
      <c r="AB55" s="294">
        <f t="shared" si="46"/>
        <v>1.0796477386825607</v>
      </c>
      <c r="AC55" s="294">
        <f t="shared" si="47"/>
        <v>1.3318282323894364</v>
      </c>
      <c r="AD55" s="315">
        <f t="shared" si="48"/>
        <v>0.93660115018194579</v>
      </c>
      <c r="AE55" s="315">
        <f t="shared" si="49"/>
        <v>0.97018297258007813</v>
      </c>
      <c r="AF55" s="316">
        <f t="shared" si="50"/>
        <v>0.90678412276202391</v>
      </c>
      <c r="AG55" s="316">
        <f t="shared" si="51"/>
        <v>6.3398849818054215E-2</v>
      </c>
      <c r="AH55" s="316">
        <f t="shared" si="52"/>
        <v>2.9817027419921871E-2</v>
      </c>
      <c r="AI55" s="316">
        <f t="shared" si="53"/>
        <v>9.3215877237976086E-2</v>
      </c>
      <c r="AJ55" s="294">
        <f t="shared" si="54"/>
        <v>-0.55000000000000004</v>
      </c>
      <c r="AK55" s="294">
        <f t="shared" si="55"/>
        <v>1.45</v>
      </c>
      <c r="AL55" s="294">
        <f t="shared" si="56"/>
        <v>0.32187499999999997</v>
      </c>
      <c r="AM55" s="313">
        <f t="shared" si="57"/>
        <v>0.578125</v>
      </c>
      <c r="AP55" s="314">
        <f t="shared" si="58"/>
        <v>0.68133887566317297</v>
      </c>
      <c r="AQ55" s="294">
        <f t="shared" si="59"/>
        <v>0.84048372253340331</v>
      </c>
      <c r="AR55" s="315">
        <f t="shared" si="60"/>
        <v>0.83236638400462826</v>
      </c>
      <c r="AS55" s="315">
        <f t="shared" si="61"/>
        <v>0.88270606785919359</v>
      </c>
      <c r="AT55" s="316">
        <f t="shared" si="62"/>
        <v>0.71507245186382185</v>
      </c>
      <c r="AU55" s="316">
        <f t="shared" si="63"/>
        <v>0.16763361599537174</v>
      </c>
      <c r="AV55" s="316">
        <f t="shared" si="64"/>
        <v>0.11729393214080641</v>
      </c>
      <c r="AW55" s="338">
        <f t="shared" si="65"/>
        <v>0.28492754813617815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6"/>
        <v>0.49999999999999994</v>
      </c>
      <c r="AA56" s="294">
        <f t="shared" si="45"/>
        <v>0.49999999999999994</v>
      </c>
      <c r="AB56" s="294">
        <f t="shared" si="46"/>
        <v>1.2057379855359984</v>
      </c>
      <c r="AC56" s="294">
        <f t="shared" si="47"/>
        <v>1.2057379855359984</v>
      </c>
      <c r="AD56" s="315">
        <f t="shared" si="48"/>
        <v>0.95591873263784954</v>
      </c>
      <c r="AE56" s="315">
        <f t="shared" si="49"/>
        <v>0.95591873263784954</v>
      </c>
      <c r="AF56" s="316">
        <f t="shared" si="50"/>
        <v>0.91183746527569909</v>
      </c>
      <c r="AG56" s="316">
        <f t="shared" si="51"/>
        <v>4.4081267362150456E-2</v>
      </c>
      <c r="AH56" s="316">
        <f t="shared" si="52"/>
        <v>4.4081267362150456E-2</v>
      </c>
      <c r="AI56" s="316">
        <f t="shared" si="53"/>
        <v>8.8162534724300912E-2</v>
      </c>
      <c r="AJ56" s="294">
        <f t="shared" si="54"/>
        <v>-0.5</v>
      </c>
      <c r="AK56" s="294">
        <f t="shared" si="55"/>
        <v>1.5</v>
      </c>
      <c r="AL56" s="294">
        <f t="shared" si="56"/>
        <v>0.37187499999999996</v>
      </c>
      <c r="AM56" s="313">
        <f t="shared" si="57"/>
        <v>0.62812499999999993</v>
      </c>
      <c r="AP56" s="314">
        <f t="shared" si="58"/>
        <v>0.76091129909828803</v>
      </c>
      <c r="AQ56" s="294">
        <f t="shared" si="59"/>
        <v>0.76091129909828814</v>
      </c>
      <c r="AR56" s="315">
        <f t="shared" si="60"/>
        <v>0.8590567374799567</v>
      </c>
      <c r="AS56" s="315">
        <f t="shared" si="61"/>
        <v>0.85905673747995681</v>
      </c>
      <c r="AT56" s="316">
        <f t="shared" si="62"/>
        <v>0.7181134749599134</v>
      </c>
      <c r="AU56" s="316">
        <f t="shared" si="63"/>
        <v>0.1409432625200433</v>
      </c>
      <c r="AV56" s="316">
        <f t="shared" si="64"/>
        <v>0.14094326252004319</v>
      </c>
      <c r="AW56" s="338">
        <f t="shared" si="65"/>
        <v>0.2818865250400866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6"/>
        <v>0.54999999999999993</v>
      </c>
      <c r="AA57" s="294">
        <f t="shared" si="45"/>
        <v>0.55228758169934633</v>
      </c>
      <c r="AB57" s="294">
        <f t="shared" si="46"/>
        <v>1.3318282323894359</v>
      </c>
      <c r="AC57" s="294">
        <f t="shared" si="47"/>
        <v>1.0796477386825609</v>
      </c>
      <c r="AD57" s="315">
        <f t="shared" si="48"/>
        <v>0.97018297258007802</v>
      </c>
      <c r="AE57" s="315">
        <f t="shared" si="49"/>
        <v>0.93660115018194579</v>
      </c>
      <c r="AF57" s="316">
        <f t="shared" si="50"/>
        <v>0.90678412276202369</v>
      </c>
      <c r="AG57" s="316">
        <f t="shared" si="51"/>
        <v>2.9817027419921982E-2</v>
      </c>
      <c r="AH57" s="316">
        <f t="shared" si="52"/>
        <v>6.3398849818054215E-2</v>
      </c>
      <c r="AI57" s="316">
        <f t="shared" si="53"/>
        <v>9.3215877237976308E-2</v>
      </c>
      <c r="AJ57" s="294">
        <f t="shared" si="54"/>
        <v>-0.45000000000000007</v>
      </c>
      <c r="AK57" s="294">
        <f t="shared" si="55"/>
        <v>1.5499999999999998</v>
      </c>
      <c r="AL57" s="294">
        <f t="shared" si="56"/>
        <v>0.42187499999999994</v>
      </c>
      <c r="AM57" s="313">
        <f t="shared" si="57"/>
        <v>0.67812499999999987</v>
      </c>
      <c r="AP57" s="314">
        <f t="shared" si="58"/>
        <v>0.84048372253340309</v>
      </c>
      <c r="AQ57" s="294">
        <f t="shared" si="59"/>
        <v>0.68133887566317319</v>
      </c>
      <c r="AR57" s="315">
        <f t="shared" si="60"/>
        <v>0.88270606785919359</v>
      </c>
      <c r="AS57" s="315">
        <f t="shared" si="61"/>
        <v>0.83236638400462826</v>
      </c>
      <c r="AT57" s="316">
        <f t="shared" si="62"/>
        <v>0.71507245186382185</v>
      </c>
      <c r="AU57" s="316">
        <f t="shared" si="63"/>
        <v>0.11729393214080641</v>
      </c>
      <c r="AV57" s="316">
        <f t="shared" si="64"/>
        <v>0.16763361599537174</v>
      </c>
      <c r="AW57" s="338">
        <f t="shared" si="65"/>
        <v>0.28492754813617815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6"/>
        <v>0.6</v>
      </c>
      <c r="AA58" s="294">
        <f t="shared" si="45"/>
        <v>0.60457516339869277</v>
      </c>
      <c r="AB58" s="294">
        <f t="shared" si="46"/>
        <v>1.4579184792428739</v>
      </c>
      <c r="AC58" s="294">
        <f t="shared" si="47"/>
        <v>0.95355749182912308</v>
      </c>
      <c r="AD58" s="315">
        <f t="shared" si="48"/>
        <v>0.98038699454088496</v>
      </c>
      <c r="AE58" s="315">
        <f t="shared" si="49"/>
        <v>0.91125664381827254</v>
      </c>
      <c r="AF58" s="316">
        <f t="shared" si="50"/>
        <v>0.8916436383591575</v>
      </c>
      <c r="AG58" s="316">
        <f t="shared" si="51"/>
        <v>1.961300545911504E-2</v>
      </c>
      <c r="AH58" s="316">
        <f t="shared" si="52"/>
        <v>8.8743356181727462E-2</v>
      </c>
      <c r="AI58" s="316">
        <f t="shared" si="53"/>
        <v>0.1083563616408425</v>
      </c>
      <c r="AJ58" s="294">
        <f t="shared" si="54"/>
        <v>-0.4</v>
      </c>
      <c r="AK58" s="294">
        <f t="shared" si="55"/>
        <v>1.6</v>
      </c>
      <c r="AL58" s="294">
        <f t="shared" si="56"/>
        <v>0.47187499999999999</v>
      </c>
      <c r="AM58" s="313">
        <f t="shared" si="57"/>
        <v>0.72812499999999991</v>
      </c>
      <c r="AP58" s="314">
        <f t="shared" si="58"/>
        <v>0.92005614596851815</v>
      </c>
      <c r="AQ58" s="294">
        <f t="shared" si="59"/>
        <v>0.60176645222805802</v>
      </c>
      <c r="AR58" s="315">
        <f t="shared" si="60"/>
        <v>0.90339744811123812</v>
      </c>
      <c r="AS58" s="315">
        <f t="shared" si="61"/>
        <v>0.80262262223599301</v>
      </c>
      <c r="AT58" s="316">
        <f t="shared" si="62"/>
        <v>0.70602007034723124</v>
      </c>
      <c r="AU58" s="316">
        <f t="shared" si="63"/>
        <v>9.6602551888761878E-2</v>
      </c>
      <c r="AV58" s="316">
        <f t="shared" si="64"/>
        <v>0.19737737776400699</v>
      </c>
      <c r="AW58" s="338">
        <f t="shared" si="65"/>
        <v>0.29397992965276876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6"/>
        <v>0.65</v>
      </c>
      <c r="AA59" s="294">
        <f t="shared" si="45"/>
        <v>0.65686274509803921</v>
      </c>
      <c r="AB59" s="294">
        <f t="shared" si="46"/>
        <v>1.5840087260963118</v>
      </c>
      <c r="AC59" s="294">
        <f t="shared" si="47"/>
        <v>0.82746724497568525</v>
      </c>
      <c r="AD59" s="315">
        <f t="shared" si="48"/>
        <v>0.98745864820918361</v>
      </c>
      <c r="AE59" s="315">
        <f t="shared" si="49"/>
        <v>0.87904285156793449</v>
      </c>
      <c r="AF59" s="316">
        <f t="shared" si="50"/>
        <v>0.8665014997771181</v>
      </c>
      <c r="AG59" s="316">
        <f t="shared" si="51"/>
        <v>1.2541351790816391E-2</v>
      </c>
      <c r="AH59" s="316">
        <f t="shared" si="52"/>
        <v>0.12095714843206551</v>
      </c>
      <c r="AI59" s="316">
        <f t="shared" si="53"/>
        <v>0.1334985002228819</v>
      </c>
      <c r="AJ59" s="294">
        <f t="shared" si="54"/>
        <v>-0.35</v>
      </c>
      <c r="AK59" s="294">
        <f t="shared" si="55"/>
        <v>1.65</v>
      </c>
      <c r="AL59" s="294">
        <f t="shared" si="56"/>
        <v>0.52187500000000009</v>
      </c>
      <c r="AM59" s="313">
        <f t="shared" si="57"/>
        <v>0.77812499999999996</v>
      </c>
      <c r="AP59" s="314">
        <f t="shared" si="58"/>
        <v>0.99962856940363332</v>
      </c>
      <c r="AQ59" s="294">
        <f t="shared" si="59"/>
        <v>0.52219402879294285</v>
      </c>
      <c r="AR59" s="315">
        <f t="shared" si="60"/>
        <v>0.92127327602439335</v>
      </c>
      <c r="AS59" s="315">
        <f t="shared" si="61"/>
        <v>0.76989280691289252</v>
      </c>
      <c r="AT59" s="316">
        <f t="shared" si="62"/>
        <v>0.69116608293728587</v>
      </c>
      <c r="AU59" s="316">
        <f t="shared" si="63"/>
        <v>7.8726723975606649E-2</v>
      </c>
      <c r="AV59" s="316">
        <f t="shared" si="64"/>
        <v>0.23010719308710748</v>
      </c>
      <c r="AW59" s="338">
        <f t="shared" si="65"/>
        <v>0.30883391706271413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6"/>
        <v>0.70000000000000007</v>
      </c>
      <c r="AA60" s="294">
        <f t="shared" si="45"/>
        <v>0.70915032679738577</v>
      </c>
      <c r="AB60" s="294">
        <f t="shared" si="46"/>
        <v>1.71009897294975</v>
      </c>
      <c r="AC60" s="294">
        <f t="shared" si="47"/>
        <v>0.70137699812224708</v>
      </c>
      <c r="AD60" s="315">
        <f t="shared" si="48"/>
        <v>0.99220650257298637</v>
      </c>
      <c r="AE60" s="315">
        <f t="shared" si="49"/>
        <v>0.83937608024539945</v>
      </c>
      <c r="AF60" s="316">
        <f t="shared" si="50"/>
        <v>0.83158258281838582</v>
      </c>
      <c r="AG60" s="316">
        <f t="shared" si="51"/>
        <v>7.7934974270136292E-3</v>
      </c>
      <c r="AH60" s="316">
        <f t="shared" si="52"/>
        <v>0.16062391975460055</v>
      </c>
      <c r="AI60" s="316">
        <f t="shared" si="53"/>
        <v>0.16841741718161418</v>
      </c>
      <c r="AJ60" s="294">
        <f t="shared" si="54"/>
        <v>-0.29999999999999993</v>
      </c>
      <c r="AK60" s="294">
        <f t="shared" si="55"/>
        <v>1.7000000000000002</v>
      </c>
      <c r="AL60" s="294">
        <f t="shared" si="56"/>
        <v>0.57187500000000013</v>
      </c>
      <c r="AM60" s="313">
        <f t="shared" si="57"/>
        <v>0.828125</v>
      </c>
      <c r="AP60" s="314">
        <f t="shared" si="58"/>
        <v>1.0792009928387487</v>
      </c>
      <c r="AQ60" s="294">
        <f t="shared" si="59"/>
        <v>0.44262160535782746</v>
      </c>
      <c r="AR60" s="315">
        <f t="shared" si="60"/>
        <v>0.93652254261482237</v>
      </c>
      <c r="AS60" s="315">
        <f t="shared" si="61"/>
        <v>0.73432989544106064</v>
      </c>
      <c r="AT60" s="316">
        <f t="shared" si="62"/>
        <v>0.67085243805588313</v>
      </c>
      <c r="AU60" s="316">
        <f t="shared" si="63"/>
        <v>6.3477457385177627E-2</v>
      </c>
      <c r="AV60" s="316">
        <f t="shared" si="64"/>
        <v>0.26567010455893936</v>
      </c>
      <c r="AW60" s="338">
        <f t="shared" si="65"/>
        <v>0.32914756194411687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6"/>
        <v>0.75000000000000011</v>
      </c>
      <c r="AA61" s="294">
        <f t="shared" si="45"/>
        <v>0.76143790849673221</v>
      </c>
      <c r="AB61" s="294">
        <f t="shared" si="46"/>
        <v>1.8361892198031877</v>
      </c>
      <c r="AC61" s="294">
        <f t="shared" si="47"/>
        <v>0.57528675126880935</v>
      </c>
      <c r="AD61" s="315">
        <f t="shared" si="48"/>
        <v>0.99529466799721689</v>
      </c>
      <c r="AE61" s="315">
        <f t="shared" si="49"/>
        <v>0.79205672070947353</v>
      </c>
      <c r="AF61" s="316">
        <f t="shared" si="50"/>
        <v>0.78735138870669052</v>
      </c>
      <c r="AG61" s="316">
        <f t="shared" si="51"/>
        <v>4.7053320027831136E-3</v>
      </c>
      <c r="AH61" s="316">
        <f t="shared" si="52"/>
        <v>0.20794327929052647</v>
      </c>
      <c r="AI61" s="316">
        <f t="shared" si="53"/>
        <v>0.21264861129330948</v>
      </c>
      <c r="AJ61" s="294">
        <f t="shared" si="54"/>
        <v>-0.24999999999999989</v>
      </c>
      <c r="AK61" s="294">
        <f t="shared" si="55"/>
        <v>1.75</v>
      </c>
      <c r="AL61" s="294">
        <f t="shared" si="56"/>
        <v>0.62187500000000018</v>
      </c>
      <c r="AM61" s="313">
        <f t="shared" si="57"/>
        <v>0.87812500000000004</v>
      </c>
      <c r="AP61" s="314">
        <f t="shared" si="58"/>
        <v>1.1587734162738639</v>
      </c>
      <c r="AQ61" s="294">
        <f t="shared" si="59"/>
        <v>0.36304918192271235</v>
      </c>
      <c r="AR61" s="315">
        <f t="shared" si="60"/>
        <v>0.94936765286101932</v>
      </c>
      <c r="AS61" s="315">
        <f t="shared" si="61"/>
        <v>0.69617439481953425</v>
      </c>
      <c r="AT61" s="316">
        <f t="shared" si="62"/>
        <v>0.64554204768055357</v>
      </c>
      <c r="AU61" s="316">
        <f t="shared" si="63"/>
        <v>5.0632347138980682E-2</v>
      </c>
      <c r="AV61" s="316">
        <f t="shared" si="64"/>
        <v>0.30382560518046575</v>
      </c>
      <c r="AW61" s="338">
        <f t="shared" si="65"/>
        <v>0.35445795231944643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6"/>
        <v>0.80000000000000016</v>
      </c>
      <c r="AA62" s="294">
        <f t="shared" si="45"/>
        <v>0.81372549019607865</v>
      </c>
      <c r="AB62" s="294">
        <f t="shared" si="46"/>
        <v>1.9622794666566257</v>
      </c>
      <c r="AC62" s="294">
        <f t="shared" si="47"/>
        <v>0.44919650441537146</v>
      </c>
      <c r="AD62" s="315">
        <f t="shared" si="48"/>
        <v>0.99724061243494022</v>
      </c>
      <c r="AE62" s="315">
        <f t="shared" si="49"/>
        <v>0.73737050262632087</v>
      </c>
      <c r="AF62" s="316">
        <f t="shared" si="50"/>
        <v>0.73461111506126109</v>
      </c>
      <c r="AG62" s="316">
        <f t="shared" si="51"/>
        <v>2.7593875650597788E-3</v>
      </c>
      <c r="AH62" s="316">
        <f t="shared" si="52"/>
        <v>0.26262949737367913</v>
      </c>
      <c r="AI62" s="316">
        <f t="shared" si="53"/>
        <v>0.26538888493873891</v>
      </c>
      <c r="AJ62" s="294">
        <f t="shared" si="54"/>
        <v>-0.19999999999999984</v>
      </c>
      <c r="AK62" s="294">
        <f t="shared" si="55"/>
        <v>1.8000000000000003</v>
      </c>
      <c r="AL62" s="294">
        <f t="shared" si="56"/>
        <v>0.67187500000000022</v>
      </c>
      <c r="AM62" s="313">
        <f t="shared" si="57"/>
        <v>0.92812500000000009</v>
      </c>
      <c r="AP62" s="314">
        <f t="shared" si="58"/>
        <v>1.238345839708979</v>
      </c>
      <c r="AQ62" s="294">
        <f t="shared" si="59"/>
        <v>0.28347675848759718</v>
      </c>
      <c r="AR62" s="315">
        <f t="shared" si="60"/>
        <v>0.96005162634112962</v>
      </c>
      <c r="AS62" s="315">
        <f t="shared" si="61"/>
        <v>0.65575190152289231</v>
      </c>
      <c r="AT62" s="316">
        <f t="shared" si="62"/>
        <v>0.61580352786402193</v>
      </c>
      <c r="AU62" s="316">
        <f t="shared" si="63"/>
        <v>3.9948373658870384E-2</v>
      </c>
      <c r="AV62" s="316">
        <f t="shared" si="64"/>
        <v>0.34424809847710769</v>
      </c>
      <c r="AW62" s="338">
        <f t="shared" si="65"/>
        <v>0.38419647213597807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6"/>
        <v>0.8500000000000002</v>
      </c>
      <c r="AA63" s="294">
        <f t="shared" si="45"/>
        <v>0.86601307189542509</v>
      </c>
      <c r="AB63" s="294">
        <f t="shared" si="46"/>
        <v>2.0883697135100632</v>
      </c>
      <c r="AC63" s="294">
        <f t="shared" si="47"/>
        <v>0.32310625756193362</v>
      </c>
      <c r="AD63" s="315">
        <f t="shared" si="48"/>
        <v>0.99842853183455649</v>
      </c>
      <c r="AE63" s="315">
        <f t="shared" si="49"/>
        <v>0.67614336368882388</v>
      </c>
      <c r="AF63" s="316">
        <f t="shared" si="50"/>
        <v>0.67457189552338037</v>
      </c>
      <c r="AG63" s="316">
        <f t="shared" si="51"/>
        <v>1.5714681654435125E-3</v>
      </c>
      <c r="AH63" s="316">
        <f t="shared" si="52"/>
        <v>0.32385663631117612</v>
      </c>
      <c r="AI63" s="316">
        <f t="shared" si="53"/>
        <v>0.32542810447661963</v>
      </c>
      <c r="AJ63" s="294">
        <f t="shared" si="54"/>
        <v>-0.1499999999999998</v>
      </c>
      <c r="AK63" s="294">
        <f t="shared" si="55"/>
        <v>1.85</v>
      </c>
      <c r="AL63" s="294">
        <f t="shared" si="56"/>
        <v>0.72187500000000027</v>
      </c>
      <c r="AM63" s="313">
        <f t="shared" si="57"/>
        <v>0.97812500000000013</v>
      </c>
      <c r="AP63" s="314">
        <f t="shared" si="58"/>
        <v>1.317918263144094</v>
      </c>
      <c r="AQ63" s="294">
        <f t="shared" si="59"/>
        <v>0.20390433505248204</v>
      </c>
      <c r="AR63" s="315">
        <f t="shared" si="60"/>
        <v>0.96882635814714169</v>
      </c>
      <c r="AS63" s="315">
        <f t="shared" si="61"/>
        <v>0.61346604481236366</v>
      </c>
      <c r="AT63" s="316">
        <f t="shared" si="62"/>
        <v>0.58229240295950535</v>
      </c>
      <c r="AU63" s="316">
        <f t="shared" si="63"/>
        <v>3.1173641852858314E-2</v>
      </c>
      <c r="AV63" s="316">
        <f t="shared" si="64"/>
        <v>0.38653395518763634</v>
      </c>
      <c r="AW63" s="338">
        <f t="shared" si="65"/>
        <v>0.41770759704049465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6"/>
        <v>0.90000000000000024</v>
      </c>
      <c r="AA64" s="294">
        <f t="shared" si="45"/>
        <v>0.91830065359477153</v>
      </c>
      <c r="AB64" s="294">
        <f t="shared" si="46"/>
        <v>2.2144599603635009</v>
      </c>
      <c r="AC64" s="294">
        <f t="shared" si="47"/>
        <v>0.19701601070849578</v>
      </c>
      <c r="AD64" s="315">
        <f t="shared" si="48"/>
        <v>0.99913107031472692</v>
      </c>
      <c r="AE64" s="315">
        <f t="shared" si="49"/>
        <v>0.60973281039417748</v>
      </c>
      <c r="AF64" s="316">
        <f t="shared" si="50"/>
        <v>0.6088638807089044</v>
      </c>
      <c r="AG64" s="316">
        <f t="shared" si="51"/>
        <v>8.6892968527307879E-4</v>
      </c>
      <c r="AH64" s="316">
        <f t="shared" si="52"/>
        <v>0.39026718960582252</v>
      </c>
      <c r="AI64" s="316">
        <f t="shared" si="53"/>
        <v>0.3911361192910956</v>
      </c>
      <c r="AJ64" s="294">
        <f t="shared" si="54"/>
        <v>-9.9999999999999756E-2</v>
      </c>
      <c r="AK64" s="294">
        <f t="shared" si="55"/>
        <v>1.9000000000000004</v>
      </c>
      <c r="AL64" s="294">
        <f t="shared" si="56"/>
        <v>0.77187500000000031</v>
      </c>
      <c r="AM64" s="313">
        <f t="shared" si="57"/>
        <v>1.0281250000000002</v>
      </c>
      <c r="AP64" s="314">
        <f t="shared" si="58"/>
        <v>1.3974906865792092</v>
      </c>
      <c r="AQ64" s="294">
        <f t="shared" si="59"/>
        <v>0.1243319116173669</v>
      </c>
      <c r="AR64" s="315">
        <f t="shared" si="60"/>
        <v>0.97594244081773285</v>
      </c>
      <c r="AS64" s="315">
        <f t="shared" si="61"/>
        <v>0.56978698669295269</v>
      </c>
      <c r="AT64" s="316">
        <f t="shared" si="62"/>
        <v>0.54572942751068565</v>
      </c>
      <c r="AU64" s="316">
        <f t="shared" si="63"/>
        <v>2.4057559182267152E-2</v>
      </c>
      <c r="AV64" s="316">
        <f t="shared" si="64"/>
        <v>0.43021301330704731</v>
      </c>
      <c r="AW64" s="338">
        <f t="shared" si="65"/>
        <v>0.45427057248931435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6"/>
        <v>0.95000000000000029</v>
      </c>
      <c r="AA65" s="294">
        <f t="shared" si="45"/>
        <v>0.97058823529411797</v>
      </c>
      <c r="AB65" s="294">
        <f t="shared" si="46"/>
        <v>2.3405502072169391</v>
      </c>
      <c r="AC65" s="294">
        <f t="shared" si="47"/>
        <v>7.0925763855057944E-2</v>
      </c>
      <c r="AD65" s="315">
        <f t="shared" si="48"/>
        <v>0.99953358321366381</v>
      </c>
      <c r="AE65" s="315">
        <f t="shared" si="49"/>
        <v>0.53994857933953622</v>
      </c>
      <c r="AF65" s="316">
        <f t="shared" si="50"/>
        <v>0.53948216255320003</v>
      </c>
      <c r="AG65" s="316">
        <f t="shared" si="51"/>
        <v>4.6641678633618788E-4</v>
      </c>
      <c r="AH65" s="316">
        <f t="shared" si="52"/>
        <v>0.46005142066046378</v>
      </c>
      <c r="AI65" s="316">
        <f t="shared" si="53"/>
        <v>0.46051783744679997</v>
      </c>
      <c r="AJ65" s="294">
        <f t="shared" si="54"/>
        <v>-4.9999999999999711E-2</v>
      </c>
      <c r="AK65" s="294">
        <f t="shared" si="55"/>
        <v>1.9500000000000002</v>
      </c>
      <c r="AL65" s="294">
        <f t="shared" si="56"/>
        <v>0.82187500000000036</v>
      </c>
      <c r="AM65" s="313">
        <f t="shared" si="57"/>
        <v>1.0781250000000002</v>
      </c>
      <c r="AP65" s="314">
        <f t="shared" si="58"/>
        <v>1.4770631100143243</v>
      </c>
      <c r="AQ65" s="294">
        <f t="shared" si="59"/>
        <v>4.4759488182251742E-2</v>
      </c>
      <c r="AR65" s="315">
        <f t="shared" si="60"/>
        <v>0.98164085746463114</v>
      </c>
      <c r="AS65" s="315">
        <f t="shared" si="61"/>
        <v>0.52523598318442355</v>
      </c>
      <c r="AT65" s="316">
        <f t="shared" si="62"/>
        <v>0.50687684064905469</v>
      </c>
      <c r="AU65" s="316">
        <f t="shared" si="63"/>
        <v>1.8359142535368855E-2</v>
      </c>
      <c r="AV65" s="316">
        <f t="shared" si="64"/>
        <v>0.47476401681557645</v>
      </c>
      <c r="AW65" s="338">
        <f t="shared" si="65"/>
        <v>0.49312315935094531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6"/>
        <v>1.0000000000000002</v>
      </c>
      <c r="AA66" s="294">
        <f t="shared" si="45"/>
        <v>1.0228758169934644</v>
      </c>
      <c r="AB66" s="294">
        <f t="shared" si="46"/>
        <v>2.4666404540703768</v>
      </c>
      <c r="AC66" s="294">
        <f t="shared" si="47"/>
        <v>-5.5164482998379893E-2</v>
      </c>
      <c r="AD66" s="315">
        <f t="shared" si="48"/>
        <v>0.99975700008612611</v>
      </c>
      <c r="AE66" s="315">
        <f t="shared" si="49"/>
        <v>0.4689083150825879</v>
      </c>
      <c r="AF66" s="316">
        <f t="shared" si="50"/>
        <v>0.4686653151687139</v>
      </c>
      <c r="AG66" s="316">
        <f t="shared" si="51"/>
        <v>2.4299991387388697E-4</v>
      </c>
      <c r="AH66" s="316">
        <f t="shared" si="52"/>
        <v>0.5310916849174121</v>
      </c>
      <c r="AI66" s="316">
        <f t="shared" si="53"/>
        <v>0.5313346848312861</v>
      </c>
      <c r="AJ66" s="294">
        <f t="shared" si="54"/>
        <v>0</v>
      </c>
      <c r="AK66" s="294">
        <f t="shared" si="55"/>
        <v>2</v>
      </c>
      <c r="AL66" s="294">
        <f t="shared" si="56"/>
        <v>0.87187500000000018</v>
      </c>
      <c r="AM66" s="313">
        <f t="shared" si="57"/>
        <v>1.1281250000000003</v>
      </c>
      <c r="AP66" s="314">
        <f t="shared" si="58"/>
        <v>1.5566355334494395</v>
      </c>
      <c r="AQ66" s="294">
        <f t="shared" si="59"/>
        <v>-3.4812935252863407E-2</v>
      </c>
      <c r="AR66" s="315">
        <f t="shared" si="60"/>
        <v>0.98614667390667621</v>
      </c>
      <c r="AS66" s="315">
        <f t="shared" si="61"/>
        <v>0.48036683628631527</v>
      </c>
      <c r="AT66" s="316">
        <f t="shared" si="62"/>
        <v>0.46651351019299137</v>
      </c>
      <c r="AU66" s="316">
        <f t="shared" si="63"/>
        <v>1.3853326093323792E-2</v>
      </c>
      <c r="AV66" s="316">
        <f t="shared" si="64"/>
        <v>0.51963316371368473</v>
      </c>
      <c r="AW66" s="338">
        <f t="shared" si="65"/>
        <v>0.53348648980700863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6"/>
        <v>1.0500000000000003</v>
      </c>
      <c r="AA67" s="294">
        <f t="shared" si="45"/>
        <v>1.0751633986928106</v>
      </c>
      <c r="AB67" s="294">
        <f t="shared" si="46"/>
        <v>2.5927307009238145</v>
      </c>
      <c r="AC67" s="294">
        <f t="shared" si="47"/>
        <v>-0.1812547298518172</v>
      </c>
      <c r="AD67" s="315">
        <f t="shared" si="48"/>
        <v>0.99987713757420615</v>
      </c>
      <c r="AE67" s="315">
        <f t="shared" si="49"/>
        <v>0.39884689865238493</v>
      </c>
      <c r="AF67" s="316">
        <f t="shared" si="50"/>
        <v>0.39872403622659114</v>
      </c>
      <c r="AG67" s="316">
        <f t="shared" si="51"/>
        <v>1.2286242579384599E-4</v>
      </c>
      <c r="AH67" s="316">
        <f t="shared" si="52"/>
        <v>0.60115310134761502</v>
      </c>
      <c r="AI67" s="316">
        <f t="shared" si="53"/>
        <v>0.60127596377340886</v>
      </c>
      <c r="AJ67" s="294">
        <f t="shared" si="54"/>
        <v>5.0000000000000266E-2</v>
      </c>
      <c r="AK67" s="294">
        <f t="shared" si="55"/>
        <v>2.0500000000000003</v>
      </c>
      <c r="AL67" s="294">
        <f t="shared" si="56"/>
        <v>0.92187500000000022</v>
      </c>
      <c r="AM67" s="313">
        <f t="shared" si="57"/>
        <v>1.1781250000000003</v>
      </c>
      <c r="AP67" s="314">
        <f t="shared" si="58"/>
        <v>1.6362079568845544</v>
      </c>
      <c r="AQ67" s="294">
        <f t="shared" si="59"/>
        <v>-0.11438535868797822</v>
      </c>
      <c r="AR67" s="315">
        <f t="shared" si="60"/>
        <v>0.98966469848536542</v>
      </c>
      <c r="AS67" s="315">
        <f t="shared" si="61"/>
        <v>0.43574532975656172</v>
      </c>
      <c r="AT67" s="316">
        <f t="shared" si="62"/>
        <v>0.42541002824192709</v>
      </c>
      <c r="AU67" s="316">
        <f t="shared" si="63"/>
        <v>1.0335301514634576E-2</v>
      </c>
      <c r="AV67" s="316">
        <f t="shared" si="64"/>
        <v>0.56425467024343834</v>
      </c>
      <c r="AW67" s="338">
        <f t="shared" si="65"/>
        <v>0.57458997175807291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6"/>
        <v>1.1000000000000003</v>
      </c>
      <c r="AA68" s="294">
        <f t="shared" si="45"/>
        <v>1.1274509803921573</v>
      </c>
      <c r="AB68" s="294">
        <f t="shared" si="46"/>
        <v>2.7188209477772527</v>
      </c>
      <c r="AC68" s="294">
        <f t="shared" si="47"/>
        <v>-0.30734497670525557</v>
      </c>
      <c r="AD68" s="315">
        <f t="shared" si="48"/>
        <v>0.99993972217263205</v>
      </c>
      <c r="AE68" s="315">
        <f t="shared" si="49"/>
        <v>0.33190772750151087</v>
      </c>
      <c r="AF68" s="316">
        <f t="shared" si="50"/>
        <v>0.33184744967414304</v>
      </c>
      <c r="AG68" s="316">
        <f t="shared" si="51"/>
        <v>6.0277827367949399E-5</v>
      </c>
      <c r="AH68" s="316">
        <f t="shared" si="52"/>
        <v>0.66809227249848913</v>
      </c>
      <c r="AI68" s="316">
        <f t="shared" si="53"/>
        <v>0.66815255032585696</v>
      </c>
      <c r="AJ68" s="294">
        <f t="shared" si="54"/>
        <v>0.10000000000000031</v>
      </c>
      <c r="AK68" s="294">
        <f t="shared" si="55"/>
        <v>2.1000000000000005</v>
      </c>
      <c r="AL68" s="294">
        <f t="shared" si="56"/>
        <v>0.97187500000000027</v>
      </c>
      <c r="AM68" s="313">
        <f t="shared" si="57"/>
        <v>1.2281250000000004</v>
      </c>
      <c r="AP68" s="314">
        <f t="shared" si="58"/>
        <v>1.7157803803196698</v>
      </c>
      <c r="AQ68" s="294">
        <f t="shared" si="59"/>
        <v>-0.19395778212309372</v>
      </c>
      <c r="AR68" s="315">
        <f t="shared" si="60"/>
        <v>0.99237695224490108</v>
      </c>
      <c r="AS68" s="315">
        <f t="shared" si="61"/>
        <v>0.3919279159530844</v>
      </c>
      <c r="AT68" s="316">
        <f t="shared" si="62"/>
        <v>0.38430486819798548</v>
      </c>
      <c r="AU68" s="316">
        <f t="shared" si="63"/>
        <v>7.6230477550989217E-3</v>
      </c>
      <c r="AV68" s="316">
        <f t="shared" si="64"/>
        <v>0.6080720840469156</v>
      </c>
      <c r="AW68" s="338">
        <f t="shared" si="65"/>
        <v>0.61569513180201452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6"/>
        <v>1.1500000000000004</v>
      </c>
      <c r="AA69" s="319">
        <f t="shared" si="45"/>
        <v>1.1797385620915035</v>
      </c>
      <c r="AB69" s="319">
        <f t="shared" si="46"/>
        <v>2.8449111946306895</v>
      </c>
      <c r="AC69" s="319">
        <f t="shared" si="47"/>
        <v>-0.43343522355869291</v>
      </c>
      <c r="AD69" s="320">
        <f t="shared" si="48"/>
        <v>0.99997130730220962</v>
      </c>
      <c r="AE69" s="320">
        <f t="shared" si="49"/>
        <v>0.26994809758107985</v>
      </c>
      <c r="AF69" s="321">
        <f t="shared" si="50"/>
        <v>0.26991940488328936</v>
      </c>
      <c r="AG69" s="321">
        <f t="shared" si="51"/>
        <v>2.8692697790377863E-5</v>
      </c>
      <c r="AH69" s="321">
        <f t="shared" si="52"/>
        <v>0.73005190241892015</v>
      </c>
      <c r="AI69" s="321">
        <f t="shared" si="53"/>
        <v>0.73008059511671064</v>
      </c>
      <c r="AJ69" s="319">
        <f t="shared" si="54"/>
        <v>0.15000000000000036</v>
      </c>
      <c r="AK69" s="319">
        <f t="shared" si="55"/>
        <v>2.1500000000000004</v>
      </c>
      <c r="AL69" s="319">
        <f t="shared" si="56"/>
        <v>1.0218750000000003</v>
      </c>
      <c r="AM69" s="322">
        <f t="shared" si="57"/>
        <v>1.2781250000000004</v>
      </c>
      <c r="AP69" s="339">
        <f t="shared" si="58"/>
        <v>1.7953528037547846</v>
      </c>
      <c r="AQ69" s="319">
        <f t="shared" si="59"/>
        <v>-0.27353020555820851</v>
      </c>
      <c r="AR69" s="320">
        <f t="shared" si="60"/>
        <v>0.99444170400567378</v>
      </c>
      <c r="AS69" s="320">
        <f t="shared" si="61"/>
        <v>0.34944098625283193</v>
      </c>
      <c r="AT69" s="321">
        <f t="shared" si="62"/>
        <v>0.34388269025850571</v>
      </c>
      <c r="AU69" s="321">
        <f t="shared" si="63"/>
        <v>5.5582959943262233E-3</v>
      </c>
      <c r="AV69" s="321">
        <f t="shared" si="64"/>
        <v>0.65055901374716807</v>
      </c>
      <c r="AW69" s="340">
        <f t="shared" si="65"/>
        <v>0.65611730974149429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W69"/>
  <sheetViews>
    <sheetView showGridLines="0" showOutlineSymbols="0" zoomScale="70" zoomScaleNormal="70" workbookViewId="0">
      <selection activeCell="J2" sqref="J2:K2"/>
    </sheetView>
  </sheetViews>
  <sheetFormatPr defaultColWidth="11.140625" defaultRowHeight="15.75" x14ac:dyDescent="0.25"/>
  <cols>
    <col min="1" max="1" width="8.5703125" style="74" customWidth="1"/>
    <col min="2" max="2" width="8.28515625" style="14" customWidth="1"/>
    <col min="3" max="3" width="9.5703125" style="14" customWidth="1"/>
    <col min="4" max="4" width="6.85546875" style="14" bestFit="1" customWidth="1"/>
    <col min="5" max="5" width="6.28515625" style="14" customWidth="1"/>
    <col min="6" max="6" width="8.5703125" style="14" customWidth="1"/>
    <col min="7" max="7" width="9" style="14" customWidth="1"/>
    <col min="8" max="8" width="6.85546875" style="14" customWidth="1"/>
    <col min="9" max="9" width="5.7109375" style="14" customWidth="1"/>
    <col min="10" max="10" width="7.5703125" style="14" customWidth="1"/>
    <col min="11" max="11" width="7.28515625" style="14" customWidth="1"/>
    <col min="12" max="12" width="7.7109375" style="14" bestFit="1" customWidth="1"/>
    <col min="13" max="13" width="7.28515625" style="14" customWidth="1"/>
    <col min="14" max="14" width="6.5703125" style="14" customWidth="1"/>
    <col min="15" max="15" width="8.85546875" style="14" customWidth="1"/>
    <col min="16" max="16" width="9" style="14" customWidth="1"/>
    <col min="17" max="17" width="6.85546875" style="14" customWidth="1"/>
    <col min="18" max="18" width="8" style="101" customWidth="1"/>
    <col min="19" max="19" width="8" style="14" customWidth="1"/>
    <col min="20" max="20" width="7.7109375" style="98" customWidth="1"/>
    <col min="21" max="21" width="7.140625" style="98" customWidth="1"/>
    <col min="22" max="22" width="10.28515625" style="14" customWidth="1"/>
    <col min="23" max="23" width="7.140625" style="14" customWidth="1"/>
    <col min="24" max="24" width="8.140625" style="20" customWidth="1"/>
    <col min="25" max="25" width="8.85546875" style="20" customWidth="1"/>
    <col min="26" max="26" width="8.140625" style="14" customWidth="1"/>
    <col min="27" max="27" width="8.5703125" style="14" customWidth="1"/>
    <col min="28" max="28" width="9" style="14" customWidth="1"/>
    <col min="29" max="29" width="8.140625" style="14" customWidth="1"/>
    <col min="30" max="30" width="7.5703125" style="14" customWidth="1"/>
    <col min="31" max="31" width="8.5703125" style="14" customWidth="1"/>
    <col min="32" max="32" width="8.85546875" style="14" customWidth="1"/>
    <col min="33" max="33" width="9.140625" style="14" customWidth="1"/>
    <col min="34" max="34" width="8.5703125" style="14" customWidth="1"/>
    <col min="35" max="35" width="8" style="14" customWidth="1"/>
    <col min="36" max="36" width="9.140625" style="14" customWidth="1"/>
    <col min="37" max="37" width="9.28515625" style="14" customWidth="1"/>
    <col min="38" max="38" width="5.85546875" style="14" customWidth="1"/>
    <col min="39" max="39" width="6.140625" style="14" customWidth="1"/>
    <col min="40" max="40" width="5.140625" style="14" customWidth="1"/>
    <col min="41" max="41" width="7.140625" style="14" customWidth="1"/>
    <col min="42" max="42" width="8.28515625" style="14" customWidth="1"/>
    <col min="43" max="43" width="8.7109375" style="14" customWidth="1"/>
    <col min="44" max="44" width="10.5703125" style="14" bestFit="1" customWidth="1"/>
    <col min="45" max="45" width="7.140625" style="14" bestFit="1" customWidth="1"/>
    <col min="46" max="46" width="9.5703125" style="14" bestFit="1" customWidth="1"/>
    <col min="47" max="48" width="5.85546875" style="14" bestFit="1" customWidth="1"/>
    <col min="49" max="49" width="9.5703125" style="14" bestFit="1" customWidth="1"/>
    <col min="50" max="16384" width="11.140625" style="14"/>
  </cols>
  <sheetData>
    <row r="1" spans="1:44" s="7" customFormat="1" x14ac:dyDescent="0.25">
      <c r="A1" s="1" t="s">
        <v>0</v>
      </c>
      <c r="B1" s="2"/>
      <c r="C1" s="2"/>
      <c r="D1" s="2"/>
      <c r="E1" s="3"/>
      <c r="F1" s="3"/>
      <c r="G1" s="3"/>
      <c r="H1" s="3"/>
      <c r="I1" s="5"/>
      <c r="J1" s="5"/>
      <c r="K1" s="5"/>
      <c r="L1" s="5"/>
      <c r="M1" s="5"/>
      <c r="N1" s="4" t="s">
        <v>3</v>
      </c>
      <c r="O1" s="102" t="str">
        <f>Notes!G2</f>
        <v>3.2/3</v>
      </c>
      <c r="P1" s="5"/>
      <c r="Q1" s="6" t="s">
        <v>151</v>
      </c>
      <c r="R1" s="487" t="str">
        <f>Notes!A1</f>
        <v>10GEPBud3_1_16a.xls</v>
      </c>
      <c r="S1" s="488"/>
      <c r="T1" s="488"/>
      <c r="U1" s="488"/>
      <c r="V1" s="171" t="s">
        <v>12</v>
      </c>
      <c r="W1" s="478">
        <f>Notes!E2</f>
        <v>37181</v>
      </c>
      <c r="X1" s="479"/>
      <c r="AA1" s="137"/>
      <c r="AB1" s="27"/>
      <c r="AD1" s="196"/>
      <c r="AF1" s="127"/>
      <c r="AG1" s="328"/>
      <c r="AH1" s="5"/>
      <c r="AJ1" s="122" t="s">
        <v>303</v>
      </c>
      <c r="AK1" s="393">
        <f>MAX(MIN(B_1*Tb_eff*($G$9+1)/(SQRT(8)*AG9),10),-10)</f>
        <v>1.5288975393757334</v>
      </c>
    </row>
    <row r="2" spans="1:44" x14ac:dyDescent="0.25">
      <c r="A2" s="118" t="s">
        <v>128</v>
      </c>
      <c r="B2" s="119" t="s">
        <v>6</v>
      </c>
      <c r="C2" s="112" t="s">
        <v>7</v>
      </c>
      <c r="D2" s="120"/>
      <c r="E2" s="5"/>
      <c r="F2" s="119" t="s">
        <v>132</v>
      </c>
      <c r="G2" s="430">
        <v>120</v>
      </c>
      <c r="H2" s="120" t="s">
        <v>10</v>
      </c>
      <c r="I2" s="364" t="s">
        <v>1</v>
      </c>
      <c r="J2" s="482" t="s">
        <v>293</v>
      </c>
      <c r="K2" s="482"/>
      <c r="L2" s="483" t="s">
        <v>2</v>
      </c>
      <c r="M2" s="484"/>
      <c r="N2" s="144"/>
      <c r="O2" s="6" t="s">
        <v>139</v>
      </c>
      <c r="P2" s="430">
        <v>0.4</v>
      </c>
      <c r="Q2" s="131" t="s">
        <v>140</v>
      </c>
      <c r="R2" s="110"/>
      <c r="T2" s="149" t="s">
        <v>11</v>
      </c>
      <c r="U2" s="150" t="str">
        <f>Notes!F16</f>
        <v>3.1.16a</v>
      </c>
      <c r="V2" s="64" t="s">
        <v>12</v>
      </c>
      <c r="W2" s="485">
        <f>Notes!D16</f>
        <v>37195</v>
      </c>
      <c r="X2" s="486"/>
      <c r="Y2" s="97"/>
      <c r="Z2" s="378"/>
      <c r="AA2" s="127"/>
      <c r="AB2" s="378"/>
      <c r="AC2" s="74"/>
      <c r="AD2" s="196"/>
      <c r="AE2" s="74"/>
      <c r="AF2" s="127"/>
      <c r="AG2" s="403"/>
      <c r="AH2" s="74"/>
      <c r="AI2" s="86"/>
      <c r="AJ2" s="122" t="s">
        <v>304</v>
      </c>
      <c r="AK2" s="394">
        <f>MAX(MIN(B_1*Tb_eff*(1-$G$9)/(SQRT(8)*AG9),10),-10)</f>
        <v>0.88266249695918653</v>
      </c>
    </row>
    <row r="3" spans="1:44" ht="15" customHeight="1" x14ac:dyDescent="0.25">
      <c r="A3" s="121"/>
      <c r="B3" s="122" t="s">
        <v>28</v>
      </c>
      <c r="C3" s="17">
        <v>7.0369999999999999</v>
      </c>
      <c r="D3" s="123"/>
      <c r="E3" s="7"/>
      <c r="F3" s="122" t="s">
        <v>133</v>
      </c>
      <c r="G3" s="10">
        <f>G2*1.518</f>
        <v>182.16</v>
      </c>
      <c r="H3" s="126" t="s">
        <v>10</v>
      </c>
      <c r="I3" s="245" t="s">
        <v>99</v>
      </c>
      <c r="J3" s="5"/>
      <c r="K3" s="6" t="s">
        <v>8</v>
      </c>
      <c r="L3" s="134">
        <v>10</v>
      </c>
      <c r="M3" s="131" t="s">
        <v>9</v>
      </c>
      <c r="N3" s="153" t="s">
        <v>138</v>
      </c>
      <c r="O3" s="137" t="s">
        <v>141</v>
      </c>
      <c r="P3" s="294">
        <f>IF(Uc&lt;1000,850,1310)</f>
        <v>1310</v>
      </c>
      <c r="Q3" s="123" t="s">
        <v>125</v>
      </c>
      <c r="S3" s="391" t="s">
        <v>302</v>
      </c>
      <c r="T3" s="438">
        <v>-14.8</v>
      </c>
      <c r="U3" s="390" t="s">
        <v>117</v>
      </c>
      <c r="V3" s="172" t="s">
        <v>33</v>
      </c>
      <c r="W3" s="173">
        <f>AO39</f>
        <v>-4.7446139617171035E-2</v>
      </c>
      <c r="X3" s="131" t="s">
        <v>152</v>
      </c>
      <c r="Y3" s="97"/>
      <c r="AA3" s="35" t="s">
        <v>41</v>
      </c>
      <c r="AB3" s="22">
        <v>2.5630000000000002</v>
      </c>
      <c r="AC3" s="21" t="s">
        <v>30</v>
      </c>
      <c r="AD3" s="196"/>
      <c r="AE3" s="74"/>
      <c r="AF3" s="35" t="s">
        <v>31</v>
      </c>
      <c r="AG3" s="203">
        <f>B_1*Tb_eff/(SQRT(8)*$T$7)</f>
        <v>2.1491628342634175</v>
      </c>
      <c r="AH3" s="21" t="s">
        <v>30</v>
      </c>
      <c r="AI3" s="86"/>
      <c r="AJ3" s="127" t="s">
        <v>305</v>
      </c>
      <c r="AK3" s="394">
        <f>ERF(AK1)+ERF(AK2)-1</f>
        <v>0.75746528578786432</v>
      </c>
    </row>
    <row r="4" spans="1:44" ht="15" customHeight="1" x14ac:dyDescent="0.25">
      <c r="A4" s="11"/>
      <c r="B4" s="124" t="s">
        <v>38</v>
      </c>
      <c r="C4" s="367">
        <v>3125</v>
      </c>
      <c r="D4" s="125" t="s">
        <v>39</v>
      </c>
      <c r="E4" s="7"/>
      <c r="F4" s="137" t="s">
        <v>131</v>
      </c>
      <c r="G4" s="439">
        <v>-120</v>
      </c>
      <c r="H4" s="170" t="s">
        <v>37</v>
      </c>
      <c r="I4" s="246" t="s">
        <v>135</v>
      </c>
      <c r="J4" s="7"/>
      <c r="K4" s="122" t="s">
        <v>17</v>
      </c>
      <c r="L4" s="132">
        <v>7.5</v>
      </c>
      <c r="M4" s="126" t="s">
        <v>9</v>
      </c>
      <c r="N4" s="121"/>
      <c r="O4" s="122" t="s">
        <v>18</v>
      </c>
      <c r="P4" s="368">
        <f>IF(Uc&gt;1000,$P$2/1.4846,$P$2/3.5)</f>
        <v>0.269432843863667</v>
      </c>
      <c r="Q4" s="123"/>
      <c r="R4" s="392" t="s">
        <v>57</v>
      </c>
      <c r="S4" s="8" t="s">
        <v>27</v>
      </c>
      <c r="T4" s="115">
        <v>-12</v>
      </c>
      <c r="U4" s="141" t="s">
        <v>23</v>
      </c>
      <c r="V4" s="174" t="s">
        <v>147</v>
      </c>
      <c r="W4" s="29"/>
      <c r="X4" s="213" t="str">
        <f>$L$3&amp;" km"</f>
        <v>10 km</v>
      </c>
      <c r="Y4" s="96"/>
      <c r="AA4" s="127" t="s">
        <v>24</v>
      </c>
      <c r="AB4" s="204">
        <f>0.7*$P$8*$C$7</f>
        <v>4.0361999999999995E-2</v>
      </c>
      <c r="AC4" s="8" t="s">
        <v>14</v>
      </c>
      <c r="AD4" s="70"/>
      <c r="AE4" s="74"/>
      <c r="AF4" s="35" t="s">
        <v>34</v>
      </c>
      <c r="AG4" s="68">
        <f>IF(ABS($AG$3)&lt;10,SIGN($AG$3)*ERF(ABS($AG$3)),SIGN($AG$3))</f>
        <v>0.9976293061992324</v>
      </c>
      <c r="AH4" s="21" t="s">
        <v>30</v>
      </c>
      <c r="AI4" s="86"/>
      <c r="AJ4" s="127" t="s">
        <v>306</v>
      </c>
      <c r="AK4" s="393">
        <f>AK3*(1-2*$L$10*10^(-$C17/10)*$AB$5*SQRT(2*ER*(AK3*(ER-1)+ER+1))/(AK3*(ER-1)))</f>
        <v>0.59081925066832119</v>
      </c>
    </row>
    <row r="5" spans="1:44" ht="15" customHeight="1" x14ac:dyDescent="0.25">
      <c r="A5" s="118" t="s">
        <v>129</v>
      </c>
      <c r="B5" s="7"/>
      <c r="C5" s="7"/>
      <c r="D5" s="7"/>
      <c r="E5" s="7"/>
      <c r="F5" s="122" t="s">
        <v>42</v>
      </c>
      <c r="G5" s="111">
        <f>G4-2*C11</f>
        <v>-128.34059991327962</v>
      </c>
      <c r="H5" s="128" t="s">
        <v>37</v>
      </c>
      <c r="I5" s="247" t="s">
        <v>136</v>
      </c>
      <c r="J5" s="110"/>
      <c r="K5" s="124" t="s">
        <v>21</v>
      </c>
      <c r="L5" s="135">
        <v>0.25</v>
      </c>
      <c r="M5" s="136" t="s">
        <v>9</v>
      </c>
      <c r="N5" s="121"/>
      <c r="O5" s="117" t="s">
        <v>139</v>
      </c>
      <c r="P5" s="16">
        <f>$P$4*((1/(0.00094*Uc)^4)+1.05)</f>
        <v>0.41597830865321028</v>
      </c>
      <c r="Q5" s="123" t="s">
        <v>140</v>
      </c>
      <c r="R5" s="156"/>
      <c r="S5" s="117" t="s">
        <v>43</v>
      </c>
      <c r="T5" s="437">
        <v>2550</v>
      </c>
      <c r="U5" s="126" t="s">
        <v>44</v>
      </c>
      <c r="V5" s="445" t="s">
        <v>273</v>
      </c>
      <c r="W5" s="448">
        <v>2344</v>
      </c>
      <c r="X5" s="447" t="s">
        <v>44</v>
      </c>
      <c r="Y5" s="96"/>
      <c r="AA5" s="288" t="s">
        <v>4</v>
      </c>
      <c r="AB5" s="291">
        <f>10^(($G$12+$T$4)/20)</f>
        <v>6.3095734448019317E-2</v>
      </c>
      <c r="AC5" s="292" t="s">
        <v>5</v>
      </c>
      <c r="AD5" s="67"/>
      <c r="AE5" s="74"/>
      <c r="AF5" s="199" t="s">
        <v>48</v>
      </c>
      <c r="AG5" s="23">
        <f>ERF(MAX(MIN(B_1*Tb_eff*($L$13+1)/(SQRT(8)*$T$7),10),-10))+ERF(MAX(MIN(B_1*Tb_eff*(1-$L$13)/(SQRT(8)*$T$7),10),-10))-1</f>
        <v>0.98353162908681613</v>
      </c>
      <c r="AH5" s="198" t="s">
        <v>30</v>
      </c>
      <c r="AI5" s="86"/>
    </row>
    <row r="6" spans="1:44" ht="15" customHeight="1" x14ac:dyDescent="0.25">
      <c r="A6" s="121"/>
      <c r="B6" s="122" t="s">
        <v>137</v>
      </c>
      <c r="C6" s="365">
        <v>1269</v>
      </c>
      <c r="D6" s="8" t="s">
        <v>125</v>
      </c>
      <c r="E6" s="7"/>
      <c r="F6" s="122" t="s">
        <v>26</v>
      </c>
      <c r="G6" s="401">
        <v>0.7</v>
      </c>
      <c r="H6" s="123"/>
      <c r="I6" s="7"/>
      <c r="J6" s="7"/>
      <c r="K6" s="117" t="s">
        <v>134</v>
      </c>
      <c r="L6" s="16">
        <f>C8-T3</f>
        <v>8.5500000000000007</v>
      </c>
      <c r="M6" s="140" t="s">
        <v>23</v>
      </c>
      <c r="N6" s="121"/>
      <c r="O6" s="137" t="s">
        <v>141</v>
      </c>
      <c r="P6" s="7">
        <f>Uc</f>
        <v>1269</v>
      </c>
      <c r="Q6" s="123" t="s">
        <v>125</v>
      </c>
      <c r="R6" s="157"/>
      <c r="S6" s="137" t="s">
        <v>51</v>
      </c>
      <c r="T6" s="27">
        <v>329</v>
      </c>
      <c r="U6" s="163" t="s">
        <v>46</v>
      </c>
      <c r="V6" s="442"/>
      <c r="W6" s="443"/>
      <c r="X6" s="444"/>
      <c r="Y6" s="96"/>
      <c r="AA6" s="200" t="s">
        <v>13</v>
      </c>
      <c r="AB6" s="201">
        <f>10^(C9/10)</f>
        <v>2.2404317927149711</v>
      </c>
      <c r="AC6" s="202" t="s">
        <v>5</v>
      </c>
      <c r="AD6" s="21"/>
      <c r="AF6" s="286" t="s">
        <v>279</v>
      </c>
      <c r="AG6" s="293">
        <f>kRIN*10^6*$AK$7*$AK$7/SQRT((1/F17)^2+(1/G17)^2+0.477*(1/$W$5)^2)*10^($G$4/10)</f>
        <v>2.3757265680080385E-3</v>
      </c>
      <c r="AH6" s="294" t="s">
        <v>372</v>
      </c>
    </row>
    <row r="7" spans="1:44" ht="15" customHeight="1" x14ac:dyDescent="0.25">
      <c r="A7" s="121"/>
      <c r="B7" s="451" t="s">
        <v>414</v>
      </c>
      <c r="C7" s="401">
        <v>0.62</v>
      </c>
      <c r="D7" s="8" t="s">
        <v>125</v>
      </c>
      <c r="E7" s="7"/>
      <c r="F7" s="286" t="s">
        <v>25</v>
      </c>
      <c r="G7" s="434">
        <v>96</v>
      </c>
      <c r="H7" s="287" t="str">
        <f>IF(G9&lt;0,"should not be &lt; DCD!","ps inc. DCD")</f>
        <v>ps inc. DCD</v>
      </c>
      <c r="I7" s="7"/>
      <c r="J7" s="7"/>
      <c r="K7" s="129" t="s">
        <v>143</v>
      </c>
      <c r="L7" s="115">
        <v>2</v>
      </c>
      <c r="M7" s="140" t="s">
        <v>23</v>
      </c>
      <c r="N7" s="121"/>
      <c r="O7" s="117" t="s">
        <v>124</v>
      </c>
      <c r="P7" s="115">
        <v>1324</v>
      </c>
      <c r="Q7" s="123" t="s">
        <v>125</v>
      </c>
      <c r="R7" s="157"/>
      <c r="S7" s="137" t="s">
        <v>47</v>
      </c>
      <c r="T7" s="111">
        <f>T6*1000/$T$5</f>
        <v>129.01960784313727</v>
      </c>
      <c r="U7" s="123" t="s">
        <v>10</v>
      </c>
      <c r="V7" s="397" t="s">
        <v>122</v>
      </c>
      <c r="W7" s="7"/>
      <c r="X7" s="165"/>
      <c r="Y7" s="96"/>
      <c r="AA7" s="200" t="s">
        <v>19</v>
      </c>
      <c r="AB7" s="201">
        <f>(ER+1)/(ER-1)</f>
        <v>2.612341776263682</v>
      </c>
      <c r="AC7" s="202" t="s">
        <v>5</v>
      </c>
      <c r="AD7" s="21"/>
      <c r="AF7" s="288" t="s">
        <v>106</v>
      </c>
      <c r="AG7" s="295">
        <f>(1-10^(-Pmn/5))/(Q*Q)</f>
        <v>0</v>
      </c>
      <c r="AH7" s="296" t="s">
        <v>105</v>
      </c>
      <c r="AJ7" s="127" t="s">
        <v>311</v>
      </c>
      <c r="AK7" s="420">
        <v>1</v>
      </c>
    </row>
    <row r="8" spans="1:44" ht="15" customHeight="1" x14ac:dyDescent="0.25">
      <c r="A8" s="121"/>
      <c r="B8" s="137" t="s">
        <v>121</v>
      </c>
      <c r="C8" s="435">
        <v>-6.25</v>
      </c>
      <c r="D8" s="7" t="s">
        <v>117</v>
      </c>
      <c r="E8" s="7"/>
      <c r="F8" s="117" t="s">
        <v>40</v>
      </c>
      <c r="G8" s="285">
        <f>20.5-6.5</f>
        <v>14</v>
      </c>
      <c r="H8" s="313" t="s">
        <v>363</v>
      </c>
      <c r="I8" s="7"/>
      <c r="J8" s="7"/>
      <c r="K8" s="25" t="s">
        <v>29</v>
      </c>
      <c r="L8" s="8">
        <f>$L$6-$L$7</f>
        <v>6.5500000000000007</v>
      </c>
      <c r="M8" s="140" t="s">
        <v>23</v>
      </c>
      <c r="N8" s="103"/>
      <c r="O8" s="117" t="s">
        <v>362</v>
      </c>
      <c r="P8" s="115">
        <v>9.2999999999999999E-2</v>
      </c>
      <c r="Q8" s="123" t="s">
        <v>146</v>
      </c>
      <c r="R8" s="157"/>
      <c r="S8" s="333" t="s">
        <v>284</v>
      </c>
      <c r="T8" s="158">
        <f>$G$14*10^6/$C$4</f>
        <v>63.999999999999979</v>
      </c>
      <c r="U8" s="123" t="s">
        <v>10</v>
      </c>
      <c r="V8" s="153" t="s">
        <v>148</v>
      </c>
      <c r="W8" s="116">
        <v>7</v>
      </c>
      <c r="X8" s="123" t="s">
        <v>23</v>
      </c>
      <c r="Y8" s="96"/>
      <c r="AA8" s="137" t="s">
        <v>153</v>
      </c>
      <c r="AB8" s="16">
        <f>10*LOG10((1+10^(-($W$8/10)))/(1-10^(-($W$8/10))))</f>
        <v>1.7566264497877127</v>
      </c>
      <c r="AC8" s="7" t="s">
        <v>23</v>
      </c>
      <c r="AD8" s="21"/>
      <c r="AE8" s="74"/>
      <c r="AF8" s="137" t="s">
        <v>274</v>
      </c>
      <c r="AG8" s="111">
        <f>$T$6*1000/$W$5</f>
        <v>140.35836177474403</v>
      </c>
      <c r="AH8" s="7" t="s">
        <v>10</v>
      </c>
      <c r="AI8" s="331" t="s">
        <v>289</v>
      </c>
      <c r="AJ8" s="341">
        <v>0.5</v>
      </c>
      <c r="AK8" s="342">
        <f>0.5+0.5*10^-0.36</f>
        <v>0.71825791612008294</v>
      </c>
      <c r="AN8" s="99"/>
      <c r="AO8" s="15"/>
    </row>
    <row r="9" spans="1:44" ht="15" customHeight="1" x14ac:dyDescent="0.25">
      <c r="A9" s="121"/>
      <c r="B9" s="122" t="s">
        <v>120</v>
      </c>
      <c r="C9" s="16">
        <f>10*LOG10((2*AB12+AB11)/(2*AB12-AB11))</f>
        <v>3.5033172687061387</v>
      </c>
      <c r="D9" s="8" t="s">
        <v>23</v>
      </c>
      <c r="E9" s="7"/>
      <c r="F9" s="288" t="s">
        <v>130</v>
      </c>
      <c r="G9" s="289">
        <f>(10^-6)*($G$7-$G$8)*$L$11</f>
        <v>0.26797385620915032</v>
      </c>
      <c r="H9" s="290" t="s">
        <v>123</v>
      </c>
      <c r="I9" s="7"/>
      <c r="J9" s="7"/>
      <c r="K9" s="122" t="s">
        <v>45</v>
      </c>
      <c r="L9" s="133">
        <v>480</v>
      </c>
      <c r="M9" s="7" t="s">
        <v>46</v>
      </c>
      <c r="N9" s="121"/>
      <c r="O9" s="122" t="s">
        <v>361</v>
      </c>
      <c r="P9" s="16">
        <f>0.25*$P$8*Uc*(1-(Uo/Uc)^4)</f>
        <v>-5.4572478970832679</v>
      </c>
      <c r="Q9" s="128" t="s">
        <v>14</v>
      </c>
      <c r="R9" s="157"/>
      <c r="S9" s="333" t="s">
        <v>282</v>
      </c>
      <c r="U9" s="163" t="s">
        <v>283</v>
      </c>
      <c r="V9" s="332" t="s">
        <v>281</v>
      </c>
      <c r="W9" s="16">
        <f>10*LOG10((1+10^(-($W$8/10)))/(1-10^(-($W$8/10))))</f>
        <v>1.7566264497877127</v>
      </c>
      <c r="X9" s="123" t="s">
        <v>20</v>
      </c>
      <c r="Y9" s="96"/>
      <c r="AA9" s="404" t="s">
        <v>368</v>
      </c>
      <c r="AB9" s="201">
        <f>$C$11-$AB$8</f>
        <v>2.4136735068520974</v>
      </c>
      <c r="AC9" s="201" t="s">
        <v>20</v>
      </c>
      <c r="AD9" s="198"/>
      <c r="AE9" s="74"/>
      <c r="AF9" s="74" t="s">
        <v>275</v>
      </c>
      <c r="AG9" s="329">
        <f>SQRT(H17^2+$AG$8^2)</f>
        <v>229.9624656984505</v>
      </c>
      <c r="AH9" s="7" t="s">
        <v>10</v>
      </c>
      <c r="AI9" s="11"/>
      <c r="AJ9" s="29">
        <v>0.5</v>
      </c>
      <c r="AK9" s="343">
        <f>0.5-0.5*10^-0.36</f>
        <v>0.28174208387991706</v>
      </c>
      <c r="AM9" s="99"/>
      <c r="AN9" s="99"/>
      <c r="AO9" s="15"/>
    </row>
    <row r="10" spans="1:44" ht="15" customHeight="1" x14ac:dyDescent="0.25">
      <c r="A10" s="121"/>
      <c r="B10" s="129" t="s">
        <v>118</v>
      </c>
      <c r="C10" s="436">
        <v>-5.09</v>
      </c>
      <c r="D10" s="7" t="s">
        <v>117</v>
      </c>
      <c r="E10" s="7"/>
      <c r="F10" s="122" t="s">
        <v>49</v>
      </c>
      <c r="G10" s="439">
        <v>0.3</v>
      </c>
      <c r="H10" s="123"/>
      <c r="I10" s="7"/>
      <c r="J10" s="7"/>
      <c r="K10" s="26" t="s">
        <v>127</v>
      </c>
      <c r="L10" s="145">
        <v>0.6</v>
      </c>
      <c r="M10" s="141" t="s">
        <v>30</v>
      </c>
      <c r="N10" s="121"/>
      <c r="O10" s="9"/>
      <c r="P10" s="9"/>
      <c r="Q10" s="108"/>
      <c r="R10" s="157"/>
      <c r="S10" s="25" t="s">
        <v>145</v>
      </c>
      <c r="T10" s="326">
        <v>0</v>
      </c>
      <c r="U10" s="164" t="s">
        <v>55</v>
      </c>
      <c r="V10" s="121"/>
      <c r="W10" s="7"/>
      <c r="X10" s="165"/>
      <c r="Y10" s="96"/>
      <c r="AD10" s="198"/>
      <c r="AE10" s="74"/>
      <c r="AF10" s="127" t="s">
        <v>276</v>
      </c>
      <c r="AG10" s="328">
        <f>MAX(MIN(B_1*Tb_eff*($G$14*$Y$44+$G$9+1)/(SQRT(8)*$AG$9),10),-10)</f>
        <v>1.7810868242212154</v>
      </c>
      <c r="AH10" s="74"/>
      <c r="AI10" s="74"/>
      <c r="AJ10" s="137"/>
      <c r="AK10" s="111"/>
      <c r="AL10" s="7"/>
      <c r="AM10" s="99"/>
      <c r="AN10" s="99"/>
      <c r="AO10" s="15"/>
    </row>
    <row r="11" spans="1:44" ht="15" customHeight="1" x14ac:dyDescent="0.25">
      <c r="A11" s="121"/>
      <c r="B11" s="200" t="s">
        <v>119</v>
      </c>
      <c r="C11" s="201">
        <f>10*LOG10(AB7)</f>
        <v>4.17029995663981</v>
      </c>
      <c r="D11" s="7" t="s">
        <v>20</v>
      </c>
      <c r="E11" s="7"/>
      <c r="F11" s="288" t="s">
        <v>50</v>
      </c>
      <c r="G11" s="418">
        <f>$AG$12-2.519*SQRT($AG$6)</f>
        <v>0.49285141225111206</v>
      </c>
      <c r="H11" s="109"/>
      <c r="I11" s="7"/>
      <c r="J11" s="7"/>
      <c r="K11" s="129" t="s">
        <v>142</v>
      </c>
      <c r="L11" s="10">
        <f>1/((1/$C$4)-$G$8*10^-6)</f>
        <v>3267.9738562091502</v>
      </c>
      <c r="M11" s="8" t="s">
        <v>39</v>
      </c>
      <c r="N11" s="121"/>
      <c r="O11" s="129" t="str">
        <f>IF(L2="SMF","PolMD DGDmax","(not in use)")</f>
        <v>PolMD DGDmax</v>
      </c>
      <c r="P11" s="115">
        <v>10</v>
      </c>
      <c r="Q11" s="175" t="str">
        <f>IF(L2="SMF","ps at target "&amp;L3&amp;M3,"")</f>
        <v>ps at target 10km</v>
      </c>
      <c r="R11" s="157"/>
      <c r="S11" s="7"/>
      <c r="T11" s="154"/>
      <c r="U11" s="160"/>
      <c r="V11" s="464" t="s">
        <v>367</v>
      </c>
      <c r="W11" s="271">
        <f>-10*LOG10(ERF(AQ39)+ERF(AR39) - 1)</f>
        <v>1.4701296396690706</v>
      </c>
      <c r="X11" s="136" t="s">
        <v>20</v>
      </c>
      <c r="Y11" s="96"/>
      <c r="AA11" s="137" t="s">
        <v>294</v>
      </c>
      <c r="AB11" s="10">
        <f>10^(($C$8/10)+3)</f>
        <v>237.13737056616563</v>
      </c>
      <c r="AC11" s="7" t="s">
        <v>36</v>
      </c>
      <c r="AD11" s="198"/>
      <c r="AE11" s="74"/>
      <c r="AF11" s="127" t="s">
        <v>277</v>
      </c>
      <c r="AG11" s="328">
        <f>MAX(MIN(B_1*Tb_eff*(1-$G$14*$Y$44-$G$9)/(SQRT(8)*$AG$9),10),-10)</f>
        <v>0.63047321211370466</v>
      </c>
      <c r="AH11" s="74"/>
      <c r="AI11" s="74"/>
      <c r="AJ11" s="127"/>
      <c r="AK11" s="398"/>
      <c r="AL11" s="7"/>
      <c r="AM11" s="99"/>
      <c r="AN11" s="99"/>
      <c r="AO11" s="15"/>
    </row>
    <row r="12" spans="1:44" ht="15" customHeight="1" x14ac:dyDescent="0.25">
      <c r="A12" s="121" t="s">
        <v>250</v>
      </c>
      <c r="B12" s="7" t="s">
        <v>251</v>
      </c>
      <c r="C12" s="27">
        <v>0.3</v>
      </c>
      <c r="D12" s="7" t="s">
        <v>116</v>
      </c>
      <c r="E12" s="7"/>
      <c r="F12" s="8" t="s">
        <v>22</v>
      </c>
      <c r="G12" s="115">
        <v>-12</v>
      </c>
      <c r="H12" s="128" t="s">
        <v>23</v>
      </c>
      <c r="I12" s="7"/>
      <c r="J12" s="7"/>
      <c r="K12" s="122" t="s">
        <v>108</v>
      </c>
      <c r="L12" s="10">
        <f>1000000/$L$11</f>
        <v>306</v>
      </c>
      <c r="M12" s="7" t="s">
        <v>10</v>
      </c>
      <c r="N12" s="121"/>
      <c r="O12" s="117" t="s">
        <v>15</v>
      </c>
      <c r="P12" s="138">
        <v>1000000</v>
      </c>
      <c r="Q12" s="325" t="s">
        <v>16</v>
      </c>
      <c r="R12" s="157"/>
      <c r="S12" s="155" t="s">
        <v>144</v>
      </c>
      <c r="T12" s="19">
        <f>10*LOG10(1/SQRT(1-(Q*SD_blw)^2))</f>
        <v>0</v>
      </c>
      <c r="U12" s="159" t="s">
        <v>23</v>
      </c>
      <c r="X12" s="459" t="s">
        <v>52</v>
      </c>
      <c r="Y12" s="70"/>
      <c r="AA12" s="94" t="s">
        <v>35</v>
      </c>
      <c r="AB12" s="197">
        <f>1000*10^(C10/10)</f>
        <v>309.74192992165803</v>
      </c>
      <c r="AC12" s="86" t="s">
        <v>36</v>
      </c>
      <c r="AD12" s="74"/>
      <c r="AE12" s="74"/>
      <c r="AF12" s="127" t="s">
        <v>278</v>
      </c>
      <c r="AG12" s="328">
        <f>ERF(AG10)+ERF(AG11)-1</f>
        <v>0.61563106329843365</v>
      </c>
      <c r="AH12" s="74"/>
      <c r="AI12" s="74"/>
      <c r="AJ12" s="122"/>
      <c r="AK12" s="393"/>
      <c r="AL12" s="9"/>
      <c r="AM12" s="99"/>
      <c r="AN12" s="99"/>
      <c r="AO12" s="15"/>
    </row>
    <row r="13" spans="1:44" ht="15" customHeight="1" x14ac:dyDescent="0.25">
      <c r="A13" s="121"/>
      <c r="B13" s="7" t="s">
        <v>252</v>
      </c>
      <c r="C13" s="27">
        <v>0.4</v>
      </c>
      <c r="D13" s="7" t="s">
        <v>116</v>
      </c>
      <c r="E13" s="7"/>
      <c r="F13" s="25" t="s">
        <v>173</v>
      </c>
      <c r="G13" s="115">
        <v>0</v>
      </c>
      <c r="H13" s="126" t="s">
        <v>23</v>
      </c>
      <c r="I13" s="110"/>
      <c r="J13" s="110"/>
      <c r="K13" s="124" t="s">
        <v>150</v>
      </c>
      <c r="L13" s="30">
        <f>(10^-6)*$T$8*$L$11</f>
        <v>0.20915032679738552</v>
      </c>
      <c r="M13" s="244" t="s">
        <v>116</v>
      </c>
      <c r="N13" s="11"/>
      <c r="O13" s="142" t="s">
        <v>32</v>
      </c>
      <c r="P13" s="143">
        <f>IF(L2="SMF",1000000*L3/(3*P11),P12)</f>
        <v>333333.33333333331</v>
      </c>
      <c r="Q13" s="136" t="s">
        <v>16</v>
      </c>
      <c r="R13" s="161"/>
      <c r="S13" s="147" t="s">
        <v>56</v>
      </c>
      <c r="T13" s="31">
        <f>10*LOG10(1/SQRT(1-(Q*SD_blw/$AG$5)^2))</f>
        <v>0</v>
      </c>
      <c r="U13" s="148" t="s">
        <v>23</v>
      </c>
      <c r="V13" s="29"/>
      <c r="W13" s="406"/>
      <c r="X13" s="460" t="s">
        <v>301</v>
      </c>
      <c r="Y13" s="358"/>
      <c r="Z13" s="341"/>
      <c r="AA13" s="359" t="s">
        <v>54</v>
      </c>
      <c r="AB13" s="360" t="s">
        <v>53</v>
      </c>
      <c r="AC13" s="360" t="s">
        <v>54</v>
      </c>
      <c r="AD13" s="360" t="s">
        <v>112</v>
      </c>
      <c r="AE13" s="341"/>
      <c r="AF13" s="341"/>
      <c r="AG13" s="476" t="s">
        <v>61</v>
      </c>
      <c r="AH13" s="477"/>
      <c r="AJ13" s="122"/>
      <c r="AK13" s="394"/>
      <c r="AL13" s="9"/>
      <c r="AM13" s="99"/>
      <c r="AN13" s="99"/>
      <c r="AO13" s="15"/>
    </row>
    <row r="14" spans="1:44" ht="15" customHeight="1" x14ac:dyDescent="0.25">
      <c r="A14" s="11"/>
      <c r="B14" s="110" t="s">
        <v>253</v>
      </c>
      <c r="C14" s="85">
        <v>0.25</v>
      </c>
      <c r="D14" s="110"/>
      <c r="E14" s="162"/>
      <c r="F14" s="149" t="s">
        <v>115</v>
      </c>
      <c r="G14" s="110">
        <f>2*(0.5-$C$13)</f>
        <v>0.19999999999999996</v>
      </c>
      <c r="H14" s="136" t="s">
        <v>116</v>
      </c>
      <c r="I14" s="96"/>
      <c r="J14" s="32" t="s">
        <v>58</v>
      </c>
      <c r="K14" s="249" t="s">
        <v>254</v>
      </c>
      <c r="L14" s="259" t="s">
        <v>107</v>
      </c>
      <c r="M14" s="260" t="s">
        <v>107</v>
      </c>
      <c r="N14" s="372" t="s">
        <v>299</v>
      </c>
      <c r="O14" s="382"/>
      <c r="P14" s="382"/>
      <c r="Q14" s="382"/>
      <c r="R14" s="383"/>
      <c r="S14" s="32" t="s">
        <v>74</v>
      </c>
      <c r="T14" s="207" t="s">
        <v>75</v>
      </c>
      <c r="U14" s="274" t="s">
        <v>75</v>
      </c>
      <c r="V14" s="32" t="s">
        <v>77</v>
      </c>
      <c r="W14" s="376"/>
      <c r="X14" s="461" t="s">
        <v>223</v>
      </c>
      <c r="Y14" s="384"/>
      <c r="Z14" s="378"/>
      <c r="AA14" s="297" t="s">
        <v>300</v>
      </c>
      <c r="AB14" s="28" t="s">
        <v>59</v>
      </c>
      <c r="AC14" s="28" t="s">
        <v>60</v>
      </c>
      <c r="AD14" s="28" t="s">
        <v>113</v>
      </c>
      <c r="AE14" s="103" t="s">
        <v>114</v>
      </c>
      <c r="AF14" s="20"/>
      <c r="AG14" s="103"/>
      <c r="AH14" s="9"/>
      <c r="AI14" s="103" t="s">
        <v>111</v>
      </c>
      <c r="AL14" s="9"/>
      <c r="AM14" s="99" t="s">
        <v>285</v>
      </c>
      <c r="AN14" s="361" t="s">
        <v>99</v>
      </c>
      <c r="AO14" s="15"/>
      <c r="AP14" s="345" t="s">
        <v>68</v>
      </c>
      <c r="AQ14" s="347" t="s">
        <v>366</v>
      </c>
    </row>
    <row r="15" spans="1:44" ht="15" customHeight="1" x14ac:dyDescent="0.35">
      <c r="A15" s="166" t="s">
        <v>62</v>
      </c>
      <c r="B15" s="64" t="s">
        <v>69</v>
      </c>
      <c r="C15" s="205" t="s">
        <v>76</v>
      </c>
      <c r="D15" s="70" t="s">
        <v>63</v>
      </c>
      <c r="E15" s="70" t="s">
        <v>64</v>
      </c>
      <c r="F15" s="168" t="s">
        <v>65</v>
      </c>
      <c r="G15" s="33" t="s">
        <v>66</v>
      </c>
      <c r="H15" s="70" t="s">
        <v>67</v>
      </c>
      <c r="I15" s="70" t="s">
        <v>68</v>
      </c>
      <c r="J15" s="20" t="s">
        <v>79</v>
      </c>
      <c r="K15" s="249" t="s">
        <v>59</v>
      </c>
      <c r="L15" s="261" t="s">
        <v>79</v>
      </c>
      <c r="M15" s="262" t="s">
        <v>59</v>
      </c>
      <c r="N15" s="261" t="s">
        <v>79</v>
      </c>
      <c r="O15" s="70" t="s">
        <v>70</v>
      </c>
      <c r="P15" s="64" t="s">
        <v>71</v>
      </c>
      <c r="Q15" s="64" t="s">
        <v>72</v>
      </c>
      <c r="R15" s="271" t="s">
        <v>73</v>
      </c>
      <c r="S15" s="374" t="s">
        <v>79</v>
      </c>
      <c r="T15" s="281" t="s">
        <v>79</v>
      </c>
      <c r="U15" s="275" t="s">
        <v>59</v>
      </c>
      <c r="V15" s="261" t="s">
        <v>79</v>
      </c>
      <c r="W15" s="375" t="s">
        <v>33</v>
      </c>
      <c r="X15" s="462" t="s">
        <v>79</v>
      </c>
      <c r="Y15" s="34" t="s">
        <v>85</v>
      </c>
      <c r="Z15" s="35" t="s">
        <v>104</v>
      </c>
      <c r="AA15" s="297" t="s">
        <v>81</v>
      </c>
      <c r="AB15" s="28" t="s">
        <v>80</v>
      </c>
      <c r="AC15" s="28" t="s">
        <v>81</v>
      </c>
      <c r="AD15" s="28" t="s">
        <v>79</v>
      </c>
      <c r="AE15" s="104" t="s">
        <v>86</v>
      </c>
      <c r="AF15" s="18" t="s">
        <v>87</v>
      </c>
      <c r="AG15" s="104" t="s">
        <v>88</v>
      </c>
      <c r="AH15" s="24" t="s">
        <v>89</v>
      </c>
      <c r="AI15" s="104" t="s">
        <v>109</v>
      </c>
      <c r="AJ15" s="18" t="s">
        <v>110</v>
      </c>
      <c r="AK15" s="303" t="s">
        <v>78</v>
      </c>
      <c r="AL15" s="13" t="s">
        <v>82</v>
      </c>
      <c r="AM15" s="188" t="s">
        <v>83</v>
      </c>
      <c r="AN15" s="362"/>
      <c r="AO15" s="336" t="s">
        <v>84</v>
      </c>
      <c r="AP15" s="347" t="s">
        <v>286</v>
      </c>
      <c r="AQ15" s="346" t="s">
        <v>364</v>
      </c>
      <c r="AR15" s="346" t="s">
        <v>365</v>
      </c>
    </row>
    <row r="16" spans="1:44" s="29" customFormat="1" ht="15" customHeight="1" x14ac:dyDescent="0.2">
      <c r="A16" s="167" t="s">
        <v>90</v>
      </c>
      <c r="B16" s="162" t="s">
        <v>93</v>
      </c>
      <c r="C16" s="206" t="s">
        <v>93</v>
      </c>
      <c r="D16" s="151" t="s">
        <v>126</v>
      </c>
      <c r="E16" s="151" t="s">
        <v>126</v>
      </c>
      <c r="F16" s="169" t="s">
        <v>91</v>
      </c>
      <c r="G16" s="169" t="s">
        <v>91</v>
      </c>
      <c r="H16" s="151" t="s">
        <v>92</v>
      </c>
      <c r="I16" s="151" t="s">
        <v>92</v>
      </c>
      <c r="J16" s="12" t="s">
        <v>96</v>
      </c>
      <c r="K16" s="250" t="s">
        <v>93</v>
      </c>
      <c r="L16" s="263" t="s">
        <v>93</v>
      </c>
      <c r="M16" s="264" t="s">
        <v>93</v>
      </c>
      <c r="N16" s="263" t="s">
        <v>93</v>
      </c>
      <c r="O16" s="151"/>
      <c r="P16" s="162"/>
      <c r="Q16" s="162" t="s">
        <v>93</v>
      </c>
      <c r="R16" s="263" t="s">
        <v>93</v>
      </c>
      <c r="S16" s="162" t="s">
        <v>93</v>
      </c>
      <c r="T16" s="208" t="s">
        <v>93</v>
      </c>
      <c r="U16" s="276" t="s">
        <v>94</v>
      </c>
      <c r="V16" s="162" t="s">
        <v>94</v>
      </c>
      <c r="W16" s="176" t="s">
        <v>93</v>
      </c>
      <c r="X16" s="146" t="s">
        <v>95</v>
      </c>
      <c r="Y16" s="40" t="s">
        <v>97</v>
      </c>
      <c r="Z16" s="41" t="s">
        <v>97</v>
      </c>
      <c r="AA16" s="298" t="s">
        <v>97</v>
      </c>
      <c r="AB16" s="37" t="s">
        <v>97</v>
      </c>
      <c r="AC16" s="37" t="s">
        <v>97</v>
      </c>
      <c r="AD16" s="37" t="s">
        <v>97</v>
      </c>
      <c r="AE16" s="105" t="s">
        <v>97</v>
      </c>
      <c r="AF16" s="41" t="s">
        <v>97</v>
      </c>
      <c r="AG16" s="105" t="s">
        <v>97</v>
      </c>
      <c r="AH16" s="41" t="s">
        <v>97</v>
      </c>
      <c r="AI16" s="105" t="s">
        <v>97</v>
      </c>
      <c r="AJ16" s="41" t="s">
        <v>97</v>
      </c>
      <c r="AK16" s="304"/>
      <c r="AL16" s="36" t="s">
        <v>93</v>
      </c>
      <c r="AM16" s="38" t="s">
        <v>98</v>
      </c>
      <c r="AN16" s="29" t="s">
        <v>93</v>
      </c>
      <c r="AO16" s="39" t="s">
        <v>100</v>
      </c>
      <c r="AP16" s="348" t="s">
        <v>92</v>
      </c>
      <c r="AQ16" s="349" t="s">
        <v>97</v>
      </c>
      <c r="AR16" s="349" t="s">
        <v>97</v>
      </c>
    </row>
    <row r="17" spans="1:44" s="3" customFormat="1" ht="15" customHeight="1" x14ac:dyDescent="0.2">
      <c r="A17" s="42">
        <v>2E-3</v>
      </c>
      <c r="B17" s="44">
        <f t="shared" ref="B17:B38" si="0">A17*$P$4*((1/(0.00094*Uc)^4)+1.05)</f>
        <v>8.3195661730642062E-4</v>
      </c>
      <c r="C17" s="44">
        <f t="shared" ref="C17:C38" si="1">$L$7+B17</f>
        <v>2.0008319566173065</v>
      </c>
      <c r="D17" s="177">
        <f t="shared" ref="D17:D38" si="2">A17*$P$9</f>
        <v>-1.0914495794166536E-2</v>
      </c>
      <c r="E17" s="44">
        <f t="shared" ref="E17:E38" si="3">A17*$AB$4</f>
        <v>8.0723999999999995E-5</v>
      </c>
      <c r="F17" s="130">
        <f t="shared" ref="F17:F38" si="4">(0.187/$C$7)*10^6/(SQRT(D17^2+E17^2))</f>
        <v>27633402.397748701</v>
      </c>
      <c r="G17" s="45">
        <f t="shared" ref="G17:G38" si="5">$P$13/A17</f>
        <v>166666666.66666666</v>
      </c>
      <c r="H17" s="46">
        <f t="shared" ref="H17:H38" si="6">SQRT((1000*C_1/F17)^2+(1000*C_1/G17)^2+$G$3^2)</f>
        <v>182.16000085095823</v>
      </c>
      <c r="I17" s="46">
        <f t="shared" ref="I17:I38" si="7">SQRT(H17^2+$T$7^2)</f>
        <v>223.22259096699426</v>
      </c>
      <c r="J17" s="424">
        <f t="shared" ref="J17:J38" si="8">-10*LOG10(2*Z17 - 1)</f>
        <v>0.74652833736086432</v>
      </c>
      <c r="K17" s="251">
        <f t="shared" ref="K17:K38" si="9">-10*LOG10(AB17)-J17</f>
        <v>0.21389765563647078</v>
      </c>
      <c r="L17" s="265">
        <f t="shared" ref="L17:L38" si="10">-10*LOG10(AD17)-J17</f>
        <v>0.35693536437054407</v>
      </c>
      <c r="M17" s="266">
        <f t="shared" ref="M17:M38" si="11">-10*LOG10(AC17)-J17-K17</f>
        <v>1.0309997400580375</v>
      </c>
      <c r="N17" s="267"/>
      <c r="O17" s="130">
        <f t="shared" ref="O17:O38" si="12">(10^-6)*3.14*$L$11*D17*$C$7</f>
        <v>-6.9439020954520952E-5</v>
      </c>
      <c r="P17" s="44">
        <f t="shared" ref="P17:P38" si="13">($G$10/SQRT(2))*(1-EXP(-1*O17^2))</f>
        <v>1.0228535007970039E-9</v>
      </c>
      <c r="Q17" s="44">
        <f t="shared" ref="Q17:Q38" si="14">10*LOG10(1/SQRT(1-(Q*P17)^2))</f>
        <v>0</v>
      </c>
      <c r="R17" s="265"/>
      <c r="S17" s="44">
        <f>-10*LOG10(SQRT(1-Q*Q*(((SD_blw/AC17)^2)+AK17+Vmn+(P17*P17))))-$T$13-Q17-R17-Pmn</f>
        <v>0</v>
      </c>
      <c r="T17" s="209">
        <f>J17+L17+B17+Q17+S17+Pmn</f>
        <v>1.1042956583487149</v>
      </c>
      <c r="U17" s="277">
        <f>J17+K17+B17+Q17+S17+Pmn+M17</f>
        <v>1.9922576896726789</v>
      </c>
      <c r="V17" s="178">
        <f t="shared" ref="V17:V38" si="15">T17-B17</f>
        <v>1.1034637017314084</v>
      </c>
      <c r="W17" s="179">
        <f t="shared" ref="W17:W38" si="16">$L$8-T17</f>
        <v>5.445704341651286</v>
      </c>
      <c r="X17" s="455">
        <f t="shared" ref="X17:X38" si="17">$C$8-C17-(Q17+N17+R17+S17/2+Pmn) -$W$3</f>
        <v>-8.2033858170001359</v>
      </c>
      <c r="Y17" s="47">
        <f t="shared" ref="Y17:Y38" si="18">B_1*Tb_eff/(SQRT(8)*I17)</f>
        <v>1.242186755679719</v>
      </c>
      <c r="Z17" s="49">
        <f t="shared" ref="Z17:Z38" si="19">IF(ABS(Y17)&lt;10,SIGN(Y17)*ERF(ABS(Y17)),SIGN(Y17))</f>
        <v>0.92103400243999467</v>
      </c>
      <c r="AA17" s="395">
        <f>$AD17</f>
        <v>0.77562827003924717</v>
      </c>
      <c r="AB17" s="43">
        <f t="shared" ref="AB17:AB38" si="20">ERF(AE17)+ERF(AF17)-1</f>
        <v>0.80159943183539584</v>
      </c>
      <c r="AC17" s="47">
        <f t="shared" ref="AC17:AC38" si="21">ERF(AG17)+ERF(AH17)-1</f>
        <v>0.63220427275509161</v>
      </c>
      <c r="AD17" s="47">
        <f t="shared" ref="AD17:AD38" si="22">ERF(AI17)+ERF(AJ17)-1</f>
        <v>0.77562827003924717</v>
      </c>
      <c r="AE17" s="50">
        <f t="shared" ref="AE17:AE38" si="23">MAX(MIN(B_1*Tb_eff*($L$13+1)/(SQRT(8)*$I17),10),-10)</f>
        <v>1.5019905215735163</v>
      </c>
      <c r="AF17" s="50">
        <f t="shared" ref="AF17:AF38" si="24">MAX(MIN(B_1*Tb_eff*(1-$L$13)/(SQRT(8)*$I17),10),-10)</f>
        <v>0.98238298978592176</v>
      </c>
      <c r="AG17" s="50">
        <f t="shared" ref="AG17:AG38" si="25">MAX(MIN(B_1*Tb_eff*($L$13+$G$9+1)/(SQRT(8)*$I17),10),-10)</f>
        <v>1.8348640966249443</v>
      </c>
      <c r="AH17" s="50">
        <f t="shared" ref="AH17:AH38" si="26">MAX(MIN(B_1*Tb_eff*(1-$L$13-$G$9)/(SQRT(8)*$I17),10),-10)</f>
        <v>0.64950941473449375</v>
      </c>
      <c r="AI17" s="50">
        <f t="shared" ref="AI17:AI38" si="27">MAX(MIN(B_1*Tb_eff*($G$9+1)/(SQRT(8)*$I17),10),-10)</f>
        <v>1.575060330731147</v>
      </c>
      <c r="AJ17" s="50">
        <f t="shared" ref="AJ17:AJ38" si="28">MAX(MIN(B_1*Tb_eff*(1-$G$9)/(SQRT(8)*$I17),10),-10)</f>
        <v>0.90931318062829114</v>
      </c>
      <c r="AK17" s="305"/>
      <c r="AL17" s="48">
        <f t="shared" ref="AL17:AL38" si="29">$L$6-$L$7</f>
        <v>6.5500000000000007</v>
      </c>
      <c r="AM17" s="189"/>
      <c r="AN17" s="189"/>
      <c r="AO17" s="2"/>
      <c r="AP17" s="299"/>
      <c r="AQ17" s="299"/>
    </row>
    <row r="18" spans="1:44" s="62" customFormat="1" ht="15" customHeight="1" x14ac:dyDescent="0.25">
      <c r="A18" s="51">
        <f>$L$4</f>
        <v>7.5</v>
      </c>
      <c r="B18" s="52">
        <f t="shared" si="0"/>
        <v>3.1198373148990775</v>
      </c>
      <c r="C18" s="52">
        <f t="shared" si="1"/>
        <v>5.1198373148990779</v>
      </c>
      <c r="D18" s="180">
        <f t="shared" si="2"/>
        <v>-40.929359228124511</v>
      </c>
      <c r="E18" s="52">
        <f t="shared" si="3"/>
        <v>0.30271499999999996</v>
      </c>
      <c r="F18" s="53">
        <f t="shared" si="4"/>
        <v>7368.9073060663195</v>
      </c>
      <c r="G18" s="53">
        <f t="shared" si="5"/>
        <v>44444.444444444445</v>
      </c>
      <c r="H18" s="54">
        <f t="shared" si="6"/>
        <v>193.7574189802047</v>
      </c>
      <c r="I18" s="54">
        <f t="shared" si="7"/>
        <v>232.78315363846139</v>
      </c>
      <c r="J18" s="425">
        <f t="shared" si="8"/>
        <v>0.88386480083240293</v>
      </c>
      <c r="K18" s="252">
        <f t="shared" si="9"/>
        <v>0.21999167226038552</v>
      </c>
      <c r="L18" s="268">
        <f t="shared" si="10"/>
        <v>0.36668709709953673</v>
      </c>
      <c r="M18" s="269">
        <f t="shared" si="11"/>
        <v>1.0517563303337103</v>
      </c>
      <c r="N18" s="270">
        <f t="shared" ref="N18:N23" si="30">-10*LOG10(1-2*$L$10*10^(-$C18/10)*$AB$5*SQRT(2*ER*($AD18*(ER-1)+ER+1))/($AD18*(ER-1)))</f>
        <v>0.49760178815919909</v>
      </c>
      <c r="O18" s="52">
        <f t="shared" si="12"/>
        <v>-0.26039632857945355</v>
      </c>
      <c r="P18" s="52">
        <f t="shared" si="13"/>
        <v>1.3907056699863769E-2</v>
      </c>
      <c r="Q18" s="52">
        <f t="shared" si="14"/>
        <v>2.0897190968310855E-2</v>
      </c>
      <c r="R18" s="268">
        <f t="shared" ref="R18:R23" si="31">10*LOG10(1/SQRT(1-AK18*(Q/AA18)^2))</f>
        <v>0.6399262911475081</v>
      </c>
      <c r="S18" s="52">
        <f t="shared" ref="S18:S23" si="32">-10*LOG10(AA18*SQRT(1-Q*Q*((SD_blw^2+AK18)/AA18^2+Vmn+(P18*P18))))-$T$13-J18-L18-Q18-N18-R18-Pmn</f>
        <v>7.2083956139766814E-3</v>
      </c>
      <c r="T18" s="282">
        <f t="shared" ref="T18:T38" si="33">J18+L18+B18+Q18+N18+R18+S18+Pmn</f>
        <v>5.5360228787200114</v>
      </c>
      <c r="U18" s="278">
        <f t="shared" ref="U18:U38" si="34">J18+K18+B18+Q18+N18+R18+S18+Pmn+M18</f>
        <v>6.4410837842145714</v>
      </c>
      <c r="V18" s="181">
        <f t="shared" si="15"/>
        <v>2.416185563820934</v>
      </c>
      <c r="W18" s="182">
        <f t="shared" si="16"/>
        <v>1.0139771212799893</v>
      </c>
      <c r="X18" s="456">
        <f t="shared" si="17"/>
        <v>-12.484420643363912</v>
      </c>
      <c r="Y18" s="59">
        <f t="shared" si="18"/>
        <v>1.1911692995549206</v>
      </c>
      <c r="Z18" s="60">
        <f t="shared" si="19"/>
        <v>0.90792800763524861</v>
      </c>
      <c r="AA18" s="300">
        <f t="shared" ref="AA18:AA23" si="35">$AD18*(1-2*$L$10*10^(-$C18/10)*$AB$5*SQRT(2*ER*($AD18*(ER-1)+ER+1))/($AD18*(ER-1)))</f>
        <v>0.66862811068149053</v>
      </c>
      <c r="AB18" s="56">
        <f t="shared" si="20"/>
        <v>0.77555812620625142</v>
      </c>
      <c r="AC18" s="55">
        <f t="shared" si="21"/>
        <v>0.60874964317620384</v>
      </c>
      <c r="AD18" s="55">
        <f t="shared" si="22"/>
        <v>0.74979891943473831</v>
      </c>
      <c r="AE18" s="61">
        <f t="shared" si="23"/>
        <v>1.4403027478278452</v>
      </c>
      <c r="AF18" s="61">
        <f t="shared" si="24"/>
        <v>0.94203585128199618</v>
      </c>
      <c r="AG18" s="61">
        <f t="shared" si="25"/>
        <v>1.7595049784275296</v>
      </c>
      <c r="AH18" s="61">
        <f t="shared" si="26"/>
        <v>0.62283362068231163</v>
      </c>
      <c r="AI18" s="61">
        <f t="shared" si="27"/>
        <v>1.5103715301546052</v>
      </c>
      <c r="AJ18" s="61">
        <f t="shared" si="28"/>
        <v>0.87196706895523612</v>
      </c>
      <c r="AK18" s="306">
        <f t="shared" ref="AK18:AK23" si="36">kRIN*10^6*$AK$7*$AK$7/(SQRT((1/F18)^2+(1/G18)^2+0.477*(1/$T$5)^2))*10^($G$4/10)</f>
        <v>2.3043453642259898E-3</v>
      </c>
      <c r="AL18" s="57">
        <f t="shared" si="29"/>
        <v>6.5500000000000007</v>
      </c>
      <c r="AM18" s="190">
        <f t="shared" ref="AM18:AM38" si="37">$L$3</f>
        <v>10</v>
      </c>
      <c r="AN18" s="190">
        <v>0</v>
      </c>
      <c r="AO18" s="58">
        <f t="shared" ref="AO18:AO38" si="38">IF(A18=$L$3,W18,0)</f>
        <v>0</v>
      </c>
      <c r="AP18" s="350">
        <f t="shared" ref="AP18:AP38" si="39">IF($A18=$L$3,I18,0)</f>
        <v>0</v>
      </c>
      <c r="AQ18" s="351">
        <f>IF($A18=$L$3,B_1*Tb_eff/(SQRT(8)*H18),0)</f>
        <v>0</v>
      </c>
      <c r="AR18" s="351">
        <f t="shared" ref="AR18:AR27" si="40">IF($A18=$L$3,B_1*Tb_eff*(1-$G$9)/(SQRT(8)*SQRT($H18^2+$AG$8^2)),0)</f>
        <v>0</v>
      </c>
    </row>
    <row r="19" spans="1:44" s="74" customFormat="1" ht="15" customHeight="1" x14ac:dyDescent="0.2">
      <c r="A19" s="63">
        <f t="shared" ref="A19:A38" si="41">A18+$L$5</f>
        <v>7.75</v>
      </c>
      <c r="B19" s="64">
        <f t="shared" si="0"/>
        <v>3.2238318920623801</v>
      </c>
      <c r="C19" s="64">
        <f t="shared" si="1"/>
        <v>5.2238318920623801</v>
      </c>
      <c r="D19" s="183">
        <f t="shared" si="2"/>
        <v>-42.293671202395323</v>
      </c>
      <c r="E19" s="64">
        <f t="shared" si="3"/>
        <v>0.31280549999999996</v>
      </c>
      <c r="F19" s="65">
        <f t="shared" si="4"/>
        <v>7131.200618773858</v>
      </c>
      <c r="G19" s="65">
        <f t="shared" si="5"/>
        <v>43010.752688172041</v>
      </c>
      <c r="H19" s="66">
        <f t="shared" si="6"/>
        <v>194.51844713801319</v>
      </c>
      <c r="I19" s="66">
        <f t="shared" si="7"/>
        <v>233.41697771366367</v>
      </c>
      <c r="J19" s="426">
        <f t="shared" si="8"/>
        <v>0.89331404814119331</v>
      </c>
      <c r="K19" s="253">
        <f t="shared" si="9"/>
        <v>0.22034610949542477</v>
      </c>
      <c r="L19" s="271">
        <f t="shared" si="10"/>
        <v>0.3672545052250068</v>
      </c>
      <c r="M19" s="272">
        <f t="shared" si="11"/>
        <v>1.0529680065178866</v>
      </c>
      <c r="N19" s="256">
        <f t="shared" si="30"/>
        <v>0.48619794344136746</v>
      </c>
      <c r="O19" s="64">
        <f t="shared" si="12"/>
        <v>-0.26907620619876865</v>
      </c>
      <c r="P19" s="64">
        <f t="shared" si="13"/>
        <v>1.4815960339992506E-2</v>
      </c>
      <c r="Q19" s="64">
        <f t="shared" si="14"/>
        <v>2.3733413781316246E-2</v>
      </c>
      <c r="R19" s="271">
        <f t="shared" si="31"/>
        <v>0.63434321829484608</v>
      </c>
      <c r="S19" s="64">
        <f t="shared" si="32"/>
        <v>8.1113668348051782E-3</v>
      </c>
      <c r="T19" s="344">
        <f t="shared" si="33"/>
        <v>5.6367863877809157</v>
      </c>
      <c r="U19" s="279">
        <f t="shared" si="34"/>
        <v>6.54284599856922</v>
      </c>
      <c r="V19" s="168">
        <f t="shared" si="15"/>
        <v>2.4129544957185356</v>
      </c>
      <c r="W19" s="184">
        <f t="shared" si="16"/>
        <v>0.91321361221908504</v>
      </c>
      <c r="X19" s="457">
        <f t="shared" si="17"/>
        <v>-12.57471601138014</v>
      </c>
      <c r="Y19" s="72">
        <f t="shared" si="18"/>
        <v>1.1879347799964253</v>
      </c>
      <c r="Z19" s="73">
        <f t="shared" si="19"/>
        <v>0.90704141513778347</v>
      </c>
      <c r="AA19" s="301">
        <f t="shared" si="35"/>
        <v>0.66884171272660831</v>
      </c>
      <c r="AB19" s="69">
        <f t="shared" si="20"/>
        <v>0.77380936996392458</v>
      </c>
      <c r="AC19" s="68">
        <f t="shared" si="21"/>
        <v>0.60720757888477328</v>
      </c>
      <c r="AD19" s="68">
        <f t="shared" si="22"/>
        <v>0.74807156087269133</v>
      </c>
      <c r="AE19" s="23">
        <f t="shared" si="23"/>
        <v>1.436391727446658</v>
      </c>
      <c r="AF19" s="23">
        <f t="shared" si="24"/>
        <v>0.93947783254619266</v>
      </c>
      <c r="AG19" s="23">
        <f t="shared" si="25"/>
        <v>1.7547271913672684</v>
      </c>
      <c r="AH19" s="23">
        <f t="shared" si="26"/>
        <v>0.62114236862558203</v>
      </c>
      <c r="AI19" s="23">
        <f t="shared" si="27"/>
        <v>1.5062702439170359</v>
      </c>
      <c r="AJ19" s="23">
        <f t="shared" si="28"/>
        <v>0.86959931607581464</v>
      </c>
      <c r="AK19" s="295">
        <f t="shared" si="36"/>
        <v>2.2884972738003149E-3</v>
      </c>
      <c r="AL19" s="70">
        <f t="shared" si="29"/>
        <v>6.5500000000000007</v>
      </c>
      <c r="AM19" s="191">
        <f t="shared" si="37"/>
        <v>10</v>
      </c>
      <c r="AN19" s="192">
        <f t="shared" ref="AN19:AN37" si="42">AN20</f>
        <v>9</v>
      </c>
      <c r="AO19" s="71">
        <f t="shared" si="38"/>
        <v>0</v>
      </c>
      <c r="AP19" s="352">
        <f t="shared" si="39"/>
        <v>0</v>
      </c>
      <c r="AQ19" s="353">
        <f>IF($A19=$L$3,B_1*Tb_eff/(SQRT(8)*H19),0)</f>
        <v>0</v>
      </c>
      <c r="AR19" s="353">
        <f t="shared" si="40"/>
        <v>0</v>
      </c>
    </row>
    <row r="20" spans="1:44" s="74" customFormat="1" ht="15" customHeight="1" x14ac:dyDescent="0.2">
      <c r="A20" s="63">
        <f t="shared" si="41"/>
        <v>8</v>
      </c>
      <c r="B20" s="64">
        <f t="shared" si="0"/>
        <v>3.3278264692256823</v>
      </c>
      <c r="C20" s="64">
        <f t="shared" si="1"/>
        <v>5.3278264692256823</v>
      </c>
      <c r="D20" s="183">
        <f t="shared" si="2"/>
        <v>-43.657983176666143</v>
      </c>
      <c r="E20" s="64">
        <f t="shared" si="3"/>
        <v>0.32289599999999996</v>
      </c>
      <c r="F20" s="65">
        <f t="shared" si="4"/>
        <v>6908.3505994371744</v>
      </c>
      <c r="G20" s="65">
        <f t="shared" si="5"/>
        <v>41666.666666666664</v>
      </c>
      <c r="H20" s="66">
        <f t="shared" si="6"/>
        <v>195.30131413709171</v>
      </c>
      <c r="I20" s="66">
        <f t="shared" si="7"/>
        <v>234.06978128684597</v>
      </c>
      <c r="J20" s="426">
        <f t="shared" si="8"/>
        <v>0.90308994059017911</v>
      </c>
      <c r="K20" s="253">
        <f t="shared" si="9"/>
        <v>0.22070517431374892</v>
      </c>
      <c r="L20" s="271">
        <f t="shared" si="10"/>
        <v>0.36782935266056116</v>
      </c>
      <c r="M20" s="272">
        <f t="shared" si="11"/>
        <v>1.0541961216463989</v>
      </c>
      <c r="N20" s="256">
        <f t="shared" si="30"/>
        <v>0.47510454988218126</v>
      </c>
      <c r="O20" s="64">
        <f t="shared" si="12"/>
        <v>-0.27775608381808375</v>
      </c>
      <c r="P20" s="64">
        <f t="shared" si="13"/>
        <v>1.5750289602812821E-2</v>
      </c>
      <c r="Q20" s="64">
        <f t="shared" si="14"/>
        <v>2.684032515955255E-2</v>
      </c>
      <c r="R20" s="271">
        <f t="shared" si="31"/>
        <v>0.62893962074809329</v>
      </c>
      <c r="S20" s="64">
        <f t="shared" si="32"/>
        <v>9.0917818994669108E-3</v>
      </c>
      <c r="T20" s="344">
        <f t="shared" si="33"/>
        <v>5.7387220401657162</v>
      </c>
      <c r="U20" s="279">
        <f t="shared" si="34"/>
        <v>6.6457939834653024</v>
      </c>
      <c r="V20" s="168">
        <f t="shared" si="15"/>
        <v>2.4108955709400339</v>
      </c>
      <c r="W20" s="184">
        <f t="shared" si="16"/>
        <v>0.81127795983428452</v>
      </c>
      <c r="X20" s="457">
        <f t="shared" si="17"/>
        <v>-12.665810716348073</v>
      </c>
      <c r="Y20" s="72">
        <f t="shared" si="18"/>
        <v>1.1846217164098924</v>
      </c>
      <c r="Z20" s="73">
        <f t="shared" si="19"/>
        <v>0.906126202517333</v>
      </c>
      <c r="AA20" s="301">
        <f t="shared" si="35"/>
        <v>0.6689560959962052</v>
      </c>
      <c r="AB20" s="69">
        <f t="shared" si="20"/>
        <v>0.7720056673049398</v>
      </c>
      <c r="AC20" s="68">
        <f t="shared" si="21"/>
        <v>0.60562093078408541</v>
      </c>
      <c r="AD20" s="68">
        <f t="shared" si="22"/>
        <v>0.74629077052095938</v>
      </c>
      <c r="AE20" s="23">
        <f t="shared" si="23"/>
        <v>1.4323857355283012</v>
      </c>
      <c r="AF20" s="23">
        <f t="shared" si="24"/>
        <v>0.9368576972914836</v>
      </c>
      <c r="AG20" s="23">
        <f t="shared" si="25"/>
        <v>1.7498333850237624</v>
      </c>
      <c r="AH20" s="23">
        <f t="shared" si="26"/>
        <v>0.61941004779602227</v>
      </c>
      <c r="AI20" s="23">
        <f t="shared" si="27"/>
        <v>1.5020693659053537</v>
      </c>
      <c r="AJ20" s="23">
        <f t="shared" si="28"/>
        <v>0.86717406691443111</v>
      </c>
      <c r="AK20" s="295">
        <f t="shared" si="36"/>
        <v>2.2724680357439418E-3</v>
      </c>
      <c r="AL20" s="70">
        <f t="shared" si="29"/>
        <v>6.5500000000000007</v>
      </c>
      <c r="AM20" s="191">
        <f t="shared" si="37"/>
        <v>10</v>
      </c>
      <c r="AN20" s="192">
        <f t="shared" si="42"/>
        <v>9</v>
      </c>
      <c r="AO20" s="71">
        <f t="shared" si="38"/>
        <v>0</v>
      </c>
      <c r="AP20" s="352">
        <f t="shared" si="39"/>
        <v>0</v>
      </c>
      <c r="AQ20" s="353">
        <f t="shared" ref="AQ20:AQ37" si="43">IF($A20=$L$3,B_1*Tb_eff/(SQRT(8)*H20),0)</f>
        <v>0</v>
      </c>
      <c r="AR20" s="353">
        <f t="shared" si="40"/>
        <v>0</v>
      </c>
    </row>
    <row r="21" spans="1:44" s="74" customFormat="1" ht="15" customHeight="1" x14ac:dyDescent="0.2">
      <c r="A21" s="63">
        <f t="shared" si="41"/>
        <v>8.25</v>
      </c>
      <c r="B21" s="64">
        <f t="shared" si="0"/>
        <v>3.4318210463889849</v>
      </c>
      <c r="C21" s="64">
        <f t="shared" si="1"/>
        <v>5.4318210463889844</v>
      </c>
      <c r="D21" s="183">
        <f t="shared" si="2"/>
        <v>-45.022295150936962</v>
      </c>
      <c r="E21" s="64">
        <f t="shared" si="3"/>
        <v>0.33298649999999996</v>
      </c>
      <c r="F21" s="65">
        <f t="shared" si="4"/>
        <v>6699.0066418784727</v>
      </c>
      <c r="G21" s="65">
        <f t="shared" si="5"/>
        <v>40404.040404040403</v>
      </c>
      <c r="H21" s="66">
        <f t="shared" si="6"/>
        <v>196.10575843137144</v>
      </c>
      <c r="I21" s="66">
        <f t="shared" si="7"/>
        <v>234.7414060150879</v>
      </c>
      <c r="J21" s="426">
        <f t="shared" si="8"/>
        <v>0.913193757868072</v>
      </c>
      <c r="K21" s="253">
        <f t="shared" si="9"/>
        <v>0.22106833758482858</v>
      </c>
      <c r="L21" s="271">
        <f t="shared" si="10"/>
        <v>0.36841079454107462</v>
      </c>
      <c r="M21" s="272">
        <f t="shared" si="11"/>
        <v>1.0554389155486656</v>
      </c>
      <c r="N21" s="256">
        <f t="shared" si="30"/>
        <v>0.46431182776522484</v>
      </c>
      <c r="O21" s="64">
        <f t="shared" si="12"/>
        <v>-0.28643596143739891</v>
      </c>
      <c r="P21" s="64">
        <f t="shared" si="13"/>
        <v>1.6709643210460621E-2</v>
      </c>
      <c r="Q21" s="64">
        <f t="shared" si="14"/>
        <v>3.0233162599533639E-2</v>
      </c>
      <c r="R21" s="271">
        <f t="shared" si="31"/>
        <v>0.62371285405449317</v>
      </c>
      <c r="S21" s="64">
        <f t="shared" si="32"/>
        <v>1.0153573464067756E-2</v>
      </c>
      <c r="T21" s="344">
        <f t="shared" si="33"/>
        <v>5.8418370166814517</v>
      </c>
      <c r="U21" s="279">
        <f t="shared" si="34"/>
        <v>6.7499334752738713</v>
      </c>
      <c r="V21" s="168">
        <f t="shared" si="15"/>
        <v>2.4100159702924668</v>
      </c>
      <c r="W21" s="184">
        <f t="shared" si="16"/>
        <v>0.70816298331854899</v>
      </c>
      <c r="X21" s="457">
        <f t="shared" si="17"/>
        <v>-12.757709537923098</v>
      </c>
      <c r="Y21" s="72">
        <f t="shared" si="18"/>
        <v>1.1812323644763774</v>
      </c>
      <c r="Z21" s="73">
        <f t="shared" si="19"/>
        <v>0.90518245224558103</v>
      </c>
      <c r="AA21" s="301">
        <f t="shared" si="35"/>
        <v>0.66897264902499709</v>
      </c>
      <c r="AB21" s="69">
        <f t="shared" si="20"/>
        <v>0.77014728804313082</v>
      </c>
      <c r="AC21" s="68">
        <f t="shared" si="21"/>
        <v>0.6039902095067422</v>
      </c>
      <c r="AD21" s="68">
        <f t="shared" si="22"/>
        <v>0.7444568746787299</v>
      </c>
      <c r="AE21" s="23">
        <f t="shared" si="23"/>
        <v>1.4282874995302599</v>
      </c>
      <c r="AF21" s="23">
        <f t="shared" si="24"/>
        <v>0.93417722942249459</v>
      </c>
      <c r="AG21" s="23">
        <f t="shared" si="25"/>
        <v>1.7448268913180471</v>
      </c>
      <c r="AH21" s="23">
        <f t="shared" si="26"/>
        <v>0.61763783763470714</v>
      </c>
      <c r="AI21" s="23">
        <f t="shared" si="27"/>
        <v>1.4977717562641646</v>
      </c>
      <c r="AJ21" s="23">
        <f t="shared" si="28"/>
        <v>0.86469297268859002</v>
      </c>
      <c r="AK21" s="295">
        <f t="shared" si="36"/>
        <v>2.2562779594533758E-3</v>
      </c>
      <c r="AL21" s="70">
        <f t="shared" si="29"/>
        <v>6.5500000000000007</v>
      </c>
      <c r="AM21" s="191">
        <f t="shared" si="37"/>
        <v>10</v>
      </c>
      <c r="AN21" s="192">
        <f t="shared" si="42"/>
        <v>9</v>
      </c>
      <c r="AO21" s="71">
        <f t="shared" si="38"/>
        <v>0</v>
      </c>
      <c r="AP21" s="352">
        <f t="shared" si="39"/>
        <v>0</v>
      </c>
      <c r="AQ21" s="353">
        <f t="shared" si="43"/>
        <v>0</v>
      </c>
      <c r="AR21" s="353">
        <f t="shared" si="40"/>
        <v>0</v>
      </c>
    </row>
    <row r="22" spans="1:44" s="74" customFormat="1" ht="15" customHeight="1" x14ac:dyDescent="0.2">
      <c r="A22" s="63">
        <f t="shared" si="41"/>
        <v>8.5</v>
      </c>
      <c r="B22" s="64">
        <f t="shared" si="0"/>
        <v>3.5358156235522875</v>
      </c>
      <c r="C22" s="64">
        <f t="shared" si="1"/>
        <v>5.5358156235522875</v>
      </c>
      <c r="D22" s="183">
        <f t="shared" si="2"/>
        <v>-46.386607125207775</v>
      </c>
      <c r="E22" s="64">
        <f t="shared" si="3"/>
        <v>0.34307699999999997</v>
      </c>
      <c r="F22" s="65">
        <f t="shared" si="4"/>
        <v>6501.9770347643998</v>
      </c>
      <c r="G22" s="65">
        <f t="shared" si="5"/>
        <v>39215.686274509804</v>
      </c>
      <c r="H22" s="66">
        <f t="shared" si="6"/>
        <v>196.93151559816252</v>
      </c>
      <c r="I22" s="66">
        <f t="shared" si="7"/>
        <v>235.43169082302038</v>
      </c>
      <c r="J22" s="426">
        <f t="shared" si="8"/>
        <v>0.92362677256221981</v>
      </c>
      <c r="K22" s="253">
        <f t="shared" si="9"/>
        <v>0.22143507372870208</v>
      </c>
      <c r="L22" s="271">
        <f t="shared" si="10"/>
        <v>0.36899799166814917</v>
      </c>
      <c r="M22" s="272">
        <f t="shared" si="11"/>
        <v>1.0566946406223989</v>
      </c>
      <c r="N22" s="256">
        <f t="shared" si="30"/>
        <v>0.45381035909346623</v>
      </c>
      <c r="O22" s="64">
        <f t="shared" si="12"/>
        <v>-0.29511583905671401</v>
      </c>
      <c r="P22" s="64">
        <f t="shared" si="13"/>
        <v>1.7693610531387478E-2</v>
      </c>
      <c r="Q22" s="64">
        <f t="shared" si="14"/>
        <v>3.3927406933947274E-2</v>
      </c>
      <c r="R22" s="271">
        <f t="shared" si="31"/>
        <v>0.618660426636231</v>
      </c>
      <c r="S22" s="64">
        <f t="shared" si="32"/>
        <v>1.1300803136931381E-2</v>
      </c>
      <c r="T22" s="344">
        <f t="shared" si="33"/>
        <v>5.9461393835832315</v>
      </c>
      <c r="U22" s="279">
        <f t="shared" si="34"/>
        <v>6.8552711062661844</v>
      </c>
      <c r="V22" s="168">
        <f t="shared" si="15"/>
        <v>2.410323760030944</v>
      </c>
      <c r="W22" s="184">
        <f t="shared" si="16"/>
        <v>0.60386061641676925</v>
      </c>
      <c r="X22" s="457">
        <f t="shared" si="17"/>
        <v>-12.850418078167227</v>
      </c>
      <c r="Y22" s="72">
        <f t="shared" si="18"/>
        <v>1.1777689957472746</v>
      </c>
      <c r="Z22" s="73">
        <f t="shared" si="19"/>
        <v>0.90421025454401083</v>
      </c>
      <c r="AA22" s="301">
        <f t="shared" si="35"/>
        <v>0.66889274834263956</v>
      </c>
      <c r="AB22" s="69">
        <f t="shared" si="20"/>
        <v>0.76823451545422961</v>
      </c>
      <c r="AC22" s="68">
        <f t="shared" si="21"/>
        <v>0.60231593250058513</v>
      </c>
      <c r="AD22" s="68">
        <f t="shared" si="22"/>
        <v>0.74257021189946304</v>
      </c>
      <c r="AE22" s="23">
        <f t="shared" si="23"/>
        <v>1.4240997660996455</v>
      </c>
      <c r="AF22" s="23">
        <f t="shared" si="24"/>
        <v>0.93143822539490351</v>
      </c>
      <c r="AG22" s="23">
        <f t="shared" si="25"/>
        <v>1.739711065613621</v>
      </c>
      <c r="AH22" s="23">
        <f t="shared" si="26"/>
        <v>0.61582692588092802</v>
      </c>
      <c r="AI22" s="23">
        <f t="shared" si="27"/>
        <v>1.4933802952612498</v>
      </c>
      <c r="AJ22" s="23">
        <f t="shared" si="28"/>
        <v>0.86215769623329908</v>
      </c>
      <c r="AK22" s="295">
        <f t="shared" si="36"/>
        <v>2.2399466841949525E-3</v>
      </c>
      <c r="AL22" s="70">
        <f t="shared" si="29"/>
        <v>6.5500000000000007</v>
      </c>
      <c r="AM22" s="191">
        <f t="shared" si="37"/>
        <v>10</v>
      </c>
      <c r="AN22" s="192">
        <f t="shared" si="42"/>
        <v>9</v>
      </c>
      <c r="AO22" s="71">
        <f t="shared" si="38"/>
        <v>0</v>
      </c>
      <c r="AP22" s="352">
        <f t="shared" si="39"/>
        <v>0</v>
      </c>
      <c r="AQ22" s="353">
        <f t="shared" si="43"/>
        <v>0</v>
      </c>
      <c r="AR22" s="353">
        <f t="shared" si="40"/>
        <v>0</v>
      </c>
    </row>
    <row r="23" spans="1:44" s="62" customFormat="1" ht="15" customHeight="1" x14ac:dyDescent="0.25">
      <c r="A23" s="51">
        <f t="shared" si="41"/>
        <v>8.75</v>
      </c>
      <c r="B23" s="52">
        <f t="shared" si="0"/>
        <v>3.6398102007155901</v>
      </c>
      <c r="C23" s="52">
        <f t="shared" si="1"/>
        <v>5.6398102007155906</v>
      </c>
      <c r="D23" s="180">
        <f t="shared" si="2"/>
        <v>-47.750919099478594</v>
      </c>
      <c r="E23" s="52">
        <f t="shared" si="3"/>
        <v>0.35316749999999997</v>
      </c>
      <c r="F23" s="53">
        <f t="shared" si="4"/>
        <v>6316.2062623425591</v>
      </c>
      <c r="G23" s="53">
        <f t="shared" si="5"/>
        <v>38095.238095238092</v>
      </c>
      <c r="H23" s="54">
        <f t="shared" si="6"/>
        <v>197.77831868334999</v>
      </c>
      <c r="I23" s="54">
        <f t="shared" si="7"/>
        <v>236.14047206950713</v>
      </c>
      <c r="J23" s="425">
        <f t="shared" si="8"/>
        <v>0.93439024720527408</v>
      </c>
      <c r="K23" s="252">
        <f t="shared" si="9"/>
        <v>0.22180486201273997</v>
      </c>
      <c r="L23" s="268">
        <f t="shared" si="10"/>
        <v>0.36959011258616492</v>
      </c>
      <c r="M23" s="269">
        <f t="shared" si="11"/>
        <v>1.0579615662948747</v>
      </c>
      <c r="N23" s="270">
        <f t="shared" si="30"/>
        <v>0.44359107155797661</v>
      </c>
      <c r="O23" s="52">
        <f t="shared" si="12"/>
        <v>-0.30379571667602911</v>
      </c>
      <c r="P23" s="52">
        <f t="shared" si="13"/>
        <v>1.8701771872916478E-2</v>
      </c>
      <c r="Q23" s="52">
        <f t="shared" si="14"/>
        <v>3.7938773043126539E-2</v>
      </c>
      <c r="R23" s="268">
        <f t="shared" si="31"/>
        <v>0.6137799837078437</v>
      </c>
      <c r="S23" s="52">
        <f t="shared" si="32"/>
        <v>1.2537675593632946E-2</v>
      </c>
      <c r="T23" s="282">
        <f t="shared" si="33"/>
        <v>6.0516380644096088</v>
      </c>
      <c r="U23" s="278">
        <f t="shared" si="34"/>
        <v>6.9618143801310595</v>
      </c>
      <c r="V23" s="181">
        <f t="shared" si="15"/>
        <v>2.4118278636940187</v>
      </c>
      <c r="W23" s="182">
        <f t="shared" si="16"/>
        <v>0.49836193559039188</v>
      </c>
      <c r="X23" s="456">
        <f t="shared" si="17"/>
        <v>-12.943942727204181</v>
      </c>
      <c r="Y23" s="59">
        <f t="shared" si="18"/>
        <v>1.1742338940784955</v>
      </c>
      <c r="Z23" s="60">
        <f t="shared" si="19"/>
        <v>0.90320970765668607</v>
      </c>
      <c r="AA23" s="300">
        <f t="shared" si="35"/>
        <v>0.66871775906585462</v>
      </c>
      <c r="AB23" s="56">
        <f t="shared" si="20"/>
        <v>0.76626764649926749</v>
      </c>
      <c r="AC23" s="55">
        <f t="shared" si="21"/>
        <v>0.60059862341075232</v>
      </c>
      <c r="AD23" s="55">
        <f t="shared" si="22"/>
        <v>0.74063113303537786</v>
      </c>
      <c r="AE23" s="61">
        <f t="shared" si="23"/>
        <v>1.4198252967615794</v>
      </c>
      <c r="AF23" s="61">
        <f t="shared" si="24"/>
        <v>0.92864249139541155</v>
      </c>
      <c r="AG23" s="61">
        <f t="shared" si="25"/>
        <v>1.7344892814492807</v>
      </c>
      <c r="AH23" s="61">
        <f t="shared" si="26"/>
        <v>0.61397850670771015</v>
      </c>
      <c r="AI23" s="61">
        <f t="shared" si="27"/>
        <v>1.4888978787661968</v>
      </c>
      <c r="AJ23" s="61">
        <f t="shared" si="28"/>
        <v>0.85956990939079414</v>
      </c>
      <c r="AK23" s="306">
        <f t="shared" si="36"/>
        <v>2.2234931539336536E-3</v>
      </c>
      <c r="AL23" s="57">
        <f t="shared" si="29"/>
        <v>6.5500000000000007</v>
      </c>
      <c r="AM23" s="190">
        <f t="shared" si="37"/>
        <v>10</v>
      </c>
      <c r="AN23" s="193">
        <f t="shared" si="42"/>
        <v>9</v>
      </c>
      <c r="AO23" s="58">
        <f t="shared" si="38"/>
        <v>0</v>
      </c>
      <c r="AP23" s="350">
        <f t="shared" si="39"/>
        <v>0</v>
      </c>
      <c r="AQ23" s="351">
        <f t="shared" si="43"/>
        <v>0</v>
      </c>
      <c r="AR23" s="351">
        <f t="shared" si="40"/>
        <v>0</v>
      </c>
    </row>
    <row r="24" spans="1:44" s="74" customFormat="1" ht="15" customHeight="1" x14ac:dyDescent="0.2">
      <c r="A24" s="63">
        <f t="shared" si="41"/>
        <v>9</v>
      </c>
      <c r="B24" s="64">
        <f t="shared" si="0"/>
        <v>3.7438047778788928</v>
      </c>
      <c r="C24" s="64">
        <f t="shared" si="1"/>
        <v>5.7438047778788928</v>
      </c>
      <c r="D24" s="183">
        <f t="shared" si="2"/>
        <v>-49.115231073749413</v>
      </c>
      <c r="E24" s="64">
        <f t="shared" si="3"/>
        <v>0.36325799999999997</v>
      </c>
      <c r="F24" s="65">
        <f t="shared" si="4"/>
        <v>6140.756088388599</v>
      </c>
      <c r="G24" s="65">
        <f t="shared" si="5"/>
        <v>37037.037037037036</v>
      </c>
      <c r="H24" s="66">
        <f t="shared" si="6"/>
        <v>198.6458985386148</v>
      </c>
      <c r="I24" s="66">
        <f t="shared" si="7"/>
        <v>236.86758371337049</v>
      </c>
      <c r="J24" s="426">
        <f t="shared" si="8"/>
        <v>0.94548543142156161</v>
      </c>
      <c r="K24" s="253">
        <f t="shared" si="9"/>
        <v>0.22217718781124429</v>
      </c>
      <c r="L24" s="271">
        <f t="shared" si="10"/>
        <v>0.3701863355998124</v>
      </c>
      <c r="M24" s="272">
        <f t="shared" si="11"/>
        <v>1.059237983374246</v>
      </c>
      <c r="N24" s="256">
        <f>-10*LOG10(1-2*$L$10*10^(-$C24/10)*$AB$5*SQRT(2*ER*($AD24*(ER-1)+ER+1))/($AD24*(ER-1)))</f>
        <v>0.43364522336335398</v>
      </c>
      <c r="O24" s="64">
        <f t="shared" si="12"/>
        <v>-0.31247559429534422</v>
      </c>
      <c r="P24" s="64">
        <f t="shared" si="13"/>
        <v>1.9733698779155533E-2</v>
      </c>
      <c r="Q24" s="64">
        <f t="shared" si="14"/>
        <v>4.2283201827947023E-2</v>
      </c>
      <c r="R24" s="271">
        <f t="shared" ref="R24:R37" si="44">10*LOG10(1/SQRT(1-AK24*(Q/AA24)^2))</f>
        <v>0.60906929335690352</v>
      </c>
      <c r="S24" s="64">
        <f t="shared" ref="S24:S37" si="45">-10*LOG10(AA24*SQRT(1-Q*Q*((SD_blw^2+AK24)/AA24^2+Vmn+(P24*P24))))-$T$13-J24-L24-Q24-N24-R24-Pmn</f>
        <v>1.3868554050643023E-2</v>
      </c>
      <c r="T24" s="344">
        <f t="shared" si="33"/>
        <v>6.1583428174991139</v>
      </c>
      <c r="U24" s="279">
        <f t="shared" si="34"/>
        <v>7.0695716530847914</v>
      </c>
      <c r="V24" s="168">
        <f t="shared" si="15"/>
        <v>2.4145380396202212</v>
      </c>
      <c r="W24" s="184">
        <f t="shared" si="16"/>
        <v>0.39165718250088677</v>
      </c>
      <c r="X24" s="457">
        <f t="shared" si="17"/>
        <v>-13.038290633835249</v>
      </c>
      <c r="Y24" s="72">
        <f t="shared" si="18"/>
        <v>1.1706293521499695</v>
      </c>
      <c r="Z24" s="73">
        <f t="shared" si="19"/>
        <v>0.90218091810593226</v>
      </c>
      <c r="AA24" s="301">
        <f>$AD24*(1-2*$L$10*10^(-$C24/10)*$AB$5*SQRT(2*ER*($AD24*(ER-1)+ER+1))/($AD24*(ER-1)))</f>
        <v>0.66844903546404189</v>
      </c>
      <c r="AB24" s="69">
        <f t="shared" si="20"/>
        <v>0.76424699202644986</v>
      </c>
      <c r="AC24" s="68">
        <f t="shared" si="21"/>
        <v>0.59883881147520079</v>
      </c>
      <c r="AD24" s="68">
        <f t="shared" si="22"/>
        <v>0.73864000126758711</v>
      </c>
      <c r="AE24" s="23">
        <f t="shared" si="23"/>
        <v>1.4154668637107473</v>
      </c>
      <c r="AF24" s="23">
        <f t="shared" si="24"/>
        <v>0.92579184058919162</v>
      </c>
      <c r="AG24" s="23">
        <f t="shared" si="25"/>
        <v>1.7291649253979939</v>
      </c>
      <c r="AH24" s="23">
        <f t="shared" si="26"/>
        <v>0.61209377890194494</v>
      </c>
      <c r="AI24" s="23">
        <f t="shared" si="27"/>
        <v>1.484327413837216</v>
      </c>
      <c r="AJ24" s="23">
        <f t="shared" si="28"/>
        <v>0.85693129046272287</v>
      </c>
      <c r="AK24" s="295">
        <f t="shared" ref="AK24:AK38" si="46">kRIN*10^6*$AK$7*$AK$7/(SQRT((1/F24)^2+(1/G24)^2+0.477*(1/$T$5)^2))*10^($G$4/10)</f>
        <v>2.2069355977245467E-3</v>
      </c>
      <c r="AL24" s="70">
        <f t="shared" si="29"/>
        <v>6.5500000000000007</v>
      </c>
      <c r="AM24" s="191">
        <f t="shared" si="37"/>
        <v>10</v>
      </c>
      <c r="AN24" s="192">
        <f t="shared" si="42"/>
        <v>9</v>
      </c>
      <c r="AO24" s="71">
        <f t="shared" si="38"/>
        <v>0</v>
      </c>
      <c r="AP24" s="352">
        <f t="shared" si="39"/>
        <v>0</v>
      </c>
      <c r="AQ24" s="353">
        <f t="shared" si="43"/>
        <v>0</v>
      </c>
      <c r="AR24" s="353">
        <f t="shared" si="40"/>
        <v>0</v>
      </c>
    </row>
    <row r="25" spans="1:44" s="74" customFormat="1" ht="15" customHeight="1" x14ac:dyDescent="0.2">
      <c r="A25" s="63">
        <f t="shared" si="41"/>
        <v>9.25</v>
      </c>
      <c r="B25" s="64">
        <f t="shared" si="0"/>
        <v>3.8477993550421954</v>
      </c>
      <c r="C25" s="64">
        <f t="shared" si="1"/>
        <v>5.8477993550421949</v>
      </c>
      <c r="D25" s="183">
        <f t="shared" si="2"/>
        <v>-50.479543048020226</v>
      </c>
      <c r="E25" s="64">
        <f t="shared" si="3"/>
        <v>0.37334849999999997</v>
      </c>
      <c r="F25" s="65">
        <f t="shared" si="4"/>
        <v>5974.7897076213403</v>
      </c>
      <c r="G25" s="65">
        <f t="shared" si="5"/>
        <v>36036.036036036036</v>
      </c>
      <c r="H25" s="66">
        <f t="shared" si="6"/>
        <v>199.53398415004906</v>
      </c>
      <c r="I25" s="66">
        <f t="shared" si="7"/>
        <v>237.61285747784981</v>
      </c>
      <c r="J25" s="426">
        <f t="shared" si="8"/>
        <v>0.9569135591824508</v>
      </c>
      <c r="K25" s="253">
        <f t="shared" si="9"/>
        <v>0.22255154382411446</v>
      </c>
      <c r="L25" s="271">
        <f t="shared" si="10"/>
        <v>0.37078585072718628</v>
      </c>
      <c r="M25" s="272">
        <f t="shared" si="11"/>
        <v>1.0605222082785066</v>
      </c>
      <c r="N25" s="256">
        <f>-10*LOG10(1-2*$L$10*10^(-$C25/10)*$AB$5*SQRT(2*ER*($AD25*(ER-1)+ER+1))/($AD25*(ER-1)))</f>
        <v>0.42396438885594606</v>
      </c>
      <c r="O25" s="64">
        <f t="shared" si="12"/>
        <v>-0.32115547191465937</v>
      </c>
      <c r="P25" s="64">
        <f t="shared" si="13"/>
        <v>2.0788954333973115E-2</v>
      </c>
      <c r="Q25" s="64">
        <f t="shared" si="14"/>
        <v>4.6976853512620029E-2</v>
      </c>
      <c r="R25" s="271">
        <f t="shared" si="44"/>
        <v>0.60452623456978405</v>
      </c>
      <c r="S25" s="64">
        <f t="shared" si="45"/>
        <v>1.5297977154530185E-2</v>
      </c>
      <c r="T25" s="344">
        <f t="shared" si="33"/>
        <v>6.2662642190447126</v>
      </c>
      <c r="U25" s="279">
        <f t="shared" si="34"/>
        <v>7.1785521204201466</v>
      </c>
      <c r="V25" s="168">
        <f t="shared" si="15"/>
        <v>2.4184648640025173</v>
      </c>
      <c r="W25" s="184">
        <f t="shared" si="16"/>
        <v>0.28373578095528806</v>
      </c>
      <c r="X25" s="457">
        <f t="shared" si="17"/>
        <v>-13.133469680940639</v>
      </c>
      <c r="Y25" s="72">
        <f t="shared" si="18"/>
        <v>1.1669576680780411</v>
      </c>
      <c r="Z25" s="73">
        <f t="shared" si="19"/>
        <v>0.90112400092980927</v>
      </c>
      <c r="AA25" s="301">
        <f>$AD25*(1-2*$L$10*10^(-$C25/10)*$AB$5*SQRT(2*ER*($AD25*(ER-1)+ER+1))/($AD25*(ER-1)))</f>
        <v>0.66808792149802387</v>
      </c>
      <c r="AB25" s="69">
        <f t="shared" si="20"/>
        <v>0.76217287695033553</v>
      </c>
      <c r="AC25" s="68">
        <f t="shared" si="21"/>
        <v>0.59703703093517824</v>
      </c>
      <c r="AD25" s="68">
        <f t="shared" si="22"/>
        <v>0.73659719212127284</v>
      </c>
      <c r="AE25" s="23">
        <f t="shared" si="23"/>
        <v>1.4110272457152784</v>
      </c>
      <c r="AF25" s="23">
        <f t="shared" si="24"/>
        <v>0.92288809044080389</v>
      </c>
      <c r="AG25" s="23">
        <f t="shared" si="25"/>
        <v>1.7237413920629885</v>
      </c>
      <c r="AH25" s="23">
        <f t="shared" si="26"/>
        <v>0.61017394409309356</v>
      </c>
      <c r="AI25" s="23">
        <f t="shared" si="27"/>
        <v>1.4796718144257512</v>
      </c>
      <c r="AJ25" s="23">
        <f t="shared" si="28"/>
        <v>0.8542435217303308</v>
      </c>
      <c r="AK25" s="295">
        <f t="shared" si="46"/>
        <v>2.1902915153121992E-3</v>
      </c>
      <c r="AL25" s="70">
        <f t="shared" si="29"/>
        <v>6.5500000000000007</v>
      </c>
      <c r="AM25" s="191">
        <f t="shared" si="37"/>
        <v>10</v>
      </c>
      <c r="AN25" s="192">
        <f t="shared" si="42"/>
        <v>9</v>
      </c>
      <c r="AO25" s="71">
        <f t="shared" si="38"/>
        <v>0</v>
      </c>
      <c r="AP25" s="352">
        <f t="shared" si="39"/>
        <v>0</v>
      </c>
      <c r="AQ25" s="353">
        <f t="shared" si="43"/>
        <v>0</v>
      </c>
      <c r="AR25" s="353">
        <f t="shared" si="40"/>
        <v>0</v>
      </c>
    </row>
    <row r="26" spans="1:44" s="74" customFormat="1" ht="15" customHeight="1" x14ac:dyDescent="0.2">
      <c r="A26" s="63">
        <f t="shared" si="41"/>
        <v>9.5</v>
      </c>
      <c r="B26" s="64">
        <f t="shared" si="0"/>
        <v>3.951793932205498</v>
      </c>
      <c r="C26" s="64">
        <f t="shared" si="1"/>
        <v>5.951793932205498</v>
      </c>
      <c r="D26" s="183">
        <f t="shared" si="2"/>
        <v>-51.843855022291045</v>
      </c>
      <c r="E26" s="64">
        <f t="shared" si="3"/>
        <v>0.38343899999999997</v>
      </c>
      <c r="F26" s="65">
        <f t="shared" si="4"/>
        <v>5817.5583995260413</v>
      </c>
      <c r="G26" s="65">
        <f t="shared" si="5"/>
        <v>35087.719298245611</v>
      </c>
      <c r="H26" s="66">
        <f t="shared" si="6"/>
        <v>200.44230295760403</v>
      </c>
      <c r="I26" s="66">
        <f t="shared" si="7"/>
        <v>238.37612301349489</v>
      </c>
      <c r="J26" s="426">
        <f t="shared" si="8"/>
        <v>0.96867584617938984</v>
      </c>
      <c r="K26" s="253">
        <f t="shared" si="9"/>
        <v>0.22292743125114511</v>
      </c>
      <c r="L26" s="271">
        <f t="shared" si="10"/>
        <v>0.37138786158284565</v>
      </c>
      <c r="M26" s="272">
        <f t="shared" si="11"/>
        <v>1.0618125871305246</v>
      </c>
      <c r="N26" s="256">
        <f t="shared" ref="N26:N38" si="47">-10*LOG10(1-2*$L$10*10^(-$C26/10)*$AB$5*SQRT(2*ER*($AD26*(ER-1)+ER+1))/($AD26*(ER-1)))</f>
        <v>0.41454044490482078</v>
      </c>
      <c r="O26" s="64">
        <f t="shared" si="12"/>
        <v>-0.32983534953397448</v>
      </c>
      <c r="P26" s="64">
        <f t="shared" si="13"/>
        <v>2.1867093468736724E-2</v>
      </c>
      <c r="Q26" s="64">
        <f t="shared" si="14"/>
        <v>5.2036102343680182E-2</v>
      </c>
      <c r="R26" s="271">
        <f t="shared" si="44"/>
        <v>0.60014878700093488</v>
      </c>
      <c r="S26" s="64">
        <f t="shared" si="45"/>
        <v>1.6830677356627355E-2</v>
      </c>
      <c r="T26" s="344">
        <f t="shared" si="33"/>
        <v>6.3754136515737967</v>
      </c>
      <c r="U26" s="279">
        <f t="shared" si="34"/>
        <v>7.288765808372621</v>
      </c>
      <c r="V26" s="168">
        <f t="shared" si="15"/>
        <v>2.4236197193682987</v>
      </c>
      <c r="W26" s="184">
        <f t="shared" si="16"/>
        <v>0.17458634842620402</v>
      </c>
      <c r="X26" s="457">
        <f t="shared" si="17"/>
        <v>-13.229488465516077</v>
      </c>
      <c r="Y26" s="72">
        <f t="shared" si="18"/>
        <v>1.16322114212762</v>
      </c>
      <c r="Z26" s="73">
        <f t="shared" si="19"/>
        <v>0.90003907990036558</v>
      </c>
      <c r="AA26" s="301">
        <f t="shared" ref="AA26:AA38" si="48">$AD26*(1-2*$L$10*10^(-$C26/10)*$AB$5*SQRT(2*ER*($AD26*(ER-1)+ER+1))/($AD26*(ER-1)))</f>
        <v>0.6676357513316592</v>
      </c>
      <c r="AB26" s="69">
        <f t="shared" si="20"/>
        <v>0.7600456404072542</v>
      </c>
      <c r="AC26" s="68">
        <f t="shared" si="21"/>
        <v>0.59519382046199953</v>
      </c>
      <c r="AD26" s="68">
        <f t="shared" si="22"/>
        <v>0.73450309346537823</v>
      </c>
      <c r="AE26" s="23">
        <f t="shared" si="23"/>
        <v>1.4065092241412398</v>
      </c>
      <c r="AF26" s="23">
        <f t="shared" si="24"/>
        <v>0.91993306011400022</v>
      </c>
      <c r="AG26" s="23">
        <f t="shared" si="25"/>
        <v>1.7182220792211902</v>
      </c>
      <c r="AH26" s="23">
        <f t="shared" si="26"/>
        <v>0.60822020503404983</v>
      </c>
      <c r="AI26" s="23">
        <f t="shared" si="27"/>
        <v>1.4749339972075703</v>
      </c>
      <c r="AJ26" s="23">
        <f t="shared" si="28"/>
        <v>0.85150828704766968</v>
      </c>
      <c r="AK26" s="295">
        <f t="shared" si="46"/>
        <v>2.1735776675682926E-3</v>
      </c>
      <c r="AL26" s="70">
        <f t="shared" si="29"/>
        <v>6.5500000000000007</v>
      </c>
      <c r="AM26" s="191">
        <f t="shared" si="37"/>
        <v>10</v>
      </c>
      <c r="AN26" s="192">
        <f t="shared" si="42"/>
        <v>9</v>
      </c>
      <c r="AO26" s="71">
        <f t="shared" si="38"/>
        <v>0</v>
      </c>
      <c r="AP26" s="352">
        <f t="shared" si="39"/>
        <v>0</v>
      </c>
      <c r="AQ26" s="353">
        <f t="shared" si="43"/>
        <v>0</v>
      </c>
      <c r="AR26" s="353">
        <f t="shared" si="40"/>
        <v>0</v>
      </c>
    </row>
    <row r="27" spans="1:44" s="74" customFormat="1" ht="15" customHeight="1" x14ac:dyDescent="0.2">
      <c r="A27" s="63">
        <f t="shared" si="41"/>
        <v>9.75</v>
      </c>
      <c r="B27" s="64">
        <f t="shared" si="0"/>
        <v>4.0557885093688011</v>
      </c>
      <c r="C27" s="64">
        <f t="shared" si="1"/>
        <v>6.0557885093688011</v>
      </c>
      <c r="D27" s="183">
        <f t="shared" si="2"/>
        <v>-53.208166996561864</v>
      </c>
      <c r="E27" s="64">
        <f t="shared" si="3"/>
        <v>0.39352949999999998</v>
      </c>
      <c r="F27" s="65">
        <f t="shared" si="4"/>
        <v>5668.3902354356296</v>
      </c>
      <c r="G27" s="65">
        <f t="shared" si="5"/>
        <v>34188.034188034188</v>
      </c>
      <c r="H27" s="66">
        <f t="shared" si="6"/>
        <v>201.37058116487944</v>
      </c>
      <c r="I27" s="66">
        <f t="shared" si="7"/>
        <v>239.1572080592141</v>
      </c>
      <c r="J27" s="426">
        <f t="shared" si="8"/>
        <v>0.98077348732264791</v>
      </c>
      <c r="K27" s="253">
        <f t="shared" si="9"/>
        <v>0.22330436091872974</v>
      </c>
      <c r="L27" s="271">
        <f t="shared" si="10"/>
        <v>0.37199158718577618</v>
      </c>
      <c r="M27" s="272">
        <f t="shared" si="11"/>
        <v>1.0631074997083967</v>
      </c>
      <c r="N27" s="256">
        <f t="shared" si="47"/>
        <v>0.40536555798902246</v>
      </c>
      <c r="O27" s="64">
        <f t="shared" si="12"/>
        <v>-0.33851522715328963</v>
      </c>
      <c r="P27" s="64">
        <f t="shared" si="13"/>
        <v>2.2967663274511115E-2</v>
      </c>
      <c r="Q27" s="64">
        <f t="shared" si="14"/>
        <v>5.7477532749883306E-2</v>
      </c>
      <c r="R27" s="271">
        <f t="shared" si="44"/>
        <v>0.5959350223001072</v>
      </c>
      <c r="S27" s="64">
        <f t="shared" si="45"/>
        <v>1.8471600857624004E-2</v>
      </c>
      <c r="T27" s="344">
        <f t="shared" si="33"/>
        <v>6.4858032977738622</v>
      </c>
      <c r="U27" s="279">
        <f t="shared" si="34"/>
        <v>7.4002235712152125</v>
      </c>
      <c r="V27" s="168">
        <f t="shared" si="15"/>
        <v>2.4300147884050611</v>
      </c>
      <c r="W27" s="184">
        <f t="shared" si="16"/>
        <v>6.4196702226138491E-2</v>
      </c>
      <c r="X27" s="457">
        <f t="shared" si="17"/>
        <v>-13.326356283219454</v>
      </c>
      <c r="Y27" s="72">
        <f t="shared" si="18"/>
        <v>1.1594220735302172</v>
      </c>
      <c r="Z27" s="73">
        <f t="shared" si="19"/>
        <v>0.89892628772176963</v>
      </c>
      <c r="AA27" s="301">
        <f t="shared" si="48"/>
        <v>0.66709384981609976</v>
      </c>
      <c r="AB27" s="69">
        <f t="shared" si="20"/>
        <v>0.75786563588603006</v>
      </c>
      <c r="AC27" s="68">
        <f t="shared" si="21"/>
        <v>0.59330972260137216</v>
      </c>
      <c r="AD27" s="68">
        <f t="shared" si="22"/>
        <v>0.73235810549634395</v>
      </c>
      <c r="AE27" s="23">
        <f t="shared" si="23"/>
        <v>1.4019155791051645</v>
      </c>
      <c r="AF27" s="23">
        <f t="shared" si="24"/>
        <v>0.91692856795526989</v>
      </c>
      <c r="AG27" s="23">
        <f t="shared" si="25"/>
        <v>1.7126103831230657</v>
      </c>
      <c r="AH27" s="23">
        <f t="shared" si="26"/>
        <v>0.60623376393736861</v>
      </c>
      <c r="AI27" s="23">
        <f t="shared" si="27"/>
        <v>1.4701168775481184</v>
      </c>
      <c r="AJ27" s="23">
        <f t="shared" si="28"/>
        <v>0.84872726951231592</v>
      </c>
      <c r="AK27" s="295">
        <f t="shared" si="46"/>
        <v>2.1568100713890764E-3</v>
      </c>
      <c r="AL27" s="70">
        <f t="shared" si="29"/>
        <v>6.5500000000000007</v>
      </c>
      <c r="AM27" s="191">
        <f t="shared" si="37"/>
        <v>10</v>
      </c>
      <c r="AN27" s="192">
        <f t="shared" si="42"/>
        <v>9</v>
      </c>
      <c r="AO27" s="71">
        <f t="shared" si="38"/>
        <v>0</v>
      </c>
      <c r="AP27" s="352">
        <f t="shared" si="39"/>
        <v>0</v>
      </c>
      <c r="AQ27" s="353">
        <f t="shared" si="43"/>
        <v>0</v>
      </c>
      <c r="AR27" s="353">
        <f t="shared" si="40"/>
        <v>0</v>
      </c>
    </row>
    <row r="28" spans="1:44" s="62" customFormat="1" ht="15" customHeight="1" x14ac:dyDescent="0.25">
      <c r="A28" s="51">
        <f t="shared" si="41"/>
        <v>10</v>
      </c>
      <c r="B28" s="52">
        <f t="shared" si="0"/>
        <v>4.1597830865321033</v>
      </c>
      <c r="C28" s="52">
        <f t="shared" si="1"/>
        <v>6.1597830865321033</v>
      </c>
      <c r="D28" s="180">
        <f t="shared" si="2"/>
        <v>-54.572478970832677</v>
      </c>
      <c r="E28" s="52">
        <f t="shared" si="3"/>
        <v>0.40361999999999998</v>
      </c>
      <c r="F28" s="53">
        <f t="shared" si="4"/>
        <v>5526.6804795497401</v>
      </c>
      <c r="G28" s="53">
        <f t="shared" si="5"/>
        <v>33333.333333333328</v>
      </c>
      <c r="H28" s="54">
        <f t="shared" si="6"/>
        <v>202.31854403883037</v>
      </c>
      <c r="I28" s="54">
        <f t="shared" si="7"/>
        <v>239.95593860121292</v>
      </c>
      <c r="J28" s="425">
        <f t="shared" si="8"/>
        <v>0.99320765437308334</v>
      </c>
      <c r="K28" s="252">
        <f t="shared" si="9"/>
        <v>0.22368185435609622</v>
      </c>
      <c r="L28" s="268">
        <f t="shared" si="10"/>
        <v>0.37259626368762777</v>
      </c>
      <c r="M28" s="269">
        <f t="shared" si="11"/>
        <v>1.0644053632413182</v>
      </c>
      <c r="N28" s="270">
        <f t="shared" si="47"/>
        <v>0.39643217194792013</v>
      </c>
      <c r="O28" s="52">
        <f t="shared" si="12"/>
        <v>-0.34719510477260473</v>
      </c>
      <c r="P28" s="52">
        <f t="shared" si="13"/>
        <v>2.4090203318410903E-2</v>
      </c>
      <c r="Q28" s="52">
        <f t="shared" si="14"/>
        <v>6.3317937026623208E-2</v>
      </c>
      <c r="R28" s="268">
        <f t="shared" si="44"/>
        <v>0.59188309682709117</v>
      </c>
      <c r="S28" s="52">
        <f t="shared" si="45"/>
        <v>2.0225929222722372E-2</v>
      </c>
      <c r="T28" s="282">
        <f t="shared" si="33"/>
        <v>6.5974461396171717</v>
      </c>
      <c r="U28" s="278">
        <f t="shared" si="34"/>
        <v>7.5129370935269577</v>
      </c>
      <c r="V28" s="181">
        <f t="shared" si="15"/>
        <v>2.4376630530850685</v>
      </c>
      <c r="W28" s="182">
        <f t="shared" si="16"/>
        <v>-4.7446139617171035E-2</v>
      </c>
      <c r="X28" s="456">
        <f t="shared" si="17"/>
        <v>-13.424083117327928</v>
      </c>
      <c r="Y28" s="59">
        <f t="shared" si="18"/>
        <v>1.1555627574132894</v>
      </c>
      <c r="Z28" s="60">
        <f t="shared" si="19"/>
        <v>0.89778576620752437</v>
      </c>
      <c r="AA28" s="300">
        <f t="shared" si="48"/>
        <v>0.66646353294654614</v>
      </c>
      <c r="AB28" s="56">
        <f t="shared" si="20"/>
        <v>0.75563323133319349</v>
      </c>
      <c r="AC28" s="55">
        <f t="shared" si="21"/>
        <v>0.59138528323637352</v>
      </c>
      <c r="AD28" s="55">
        <f t="shared" si="22"/>
        <v>0.73016264070549797</v>
      </c>
      <c r="AE28" s="61">
        <f t="shared" si="23"/>
        <v>1.3972490857611668</v>
      </c>
      <c r="AF28" s="61">
        <f t="shared" si="24"/>
        <v>0.91387642906541189</v>
      </c>
      <c r="AG28" s="61">
        <f t="shared" si="25"/>
        <v>1.7069096939568846</v>
      </c>
      <c r="AH28" s="61">
        <f t="shared" si="26"/>
        <v>0.60421582086969394</v>
      </c>
      <c r="AI28" s="61">
        <f t="shared" si="27"/>
        <v>1.4652233656090072</v>
      </c>
      <c r="AJ28" s="61">
        <f t="shared" si="28"/>
        <v>0.84590214921757134</v>
      </c>
      <c r="AK28" s="306">
        <f t="shared" si="46"/>
        <v>2.1400039986714521E-3</v>
      </c>
      <c r="AL28" s="57">
        <f t="shared" si="29"/>
        <v>6.5500000000000007</v>
      </c>
      <c r="AM28" s="190">
        <f t="shared" si="37"/>
        <v>10</v>
      </c>
      <c r="AN28" s="193">
        <f t="shared" si="42"/>
        <v>9</v>
      </c>
      <c r="AO28" s="58">
        <f t="shared" si="38"/>
        <v>-4.7446139617171035E-2</v>
      </c>
      <c r="AP28" s="350">
        <f t="shared" si="39"/>
        <v>239.95593860121292</v>
      </c>
      <c r="AQ28" s="351">
        <f>IF($A28=$L$3,B_1*Tb_eff*(1+$G$9)/(SQRT(8)*SQRT($H28^2+$AG$8^2)),0)</f>
        <v>1.4278410645427284</v>
      </c>
      <c r="AR28" s="351">
        <f>IF($A28=$L$3,B_1*Tb_eff*(1-$G$9)/(SQRT(8)*SQRT($H28^2+$AG$8^2)),0)</f>
        <v>0.82432061458136918</v>
      </c>
    </row>
    <row r="29" spans="1:44" s="74" customFormat="1" ht="15" customHeight="1" x14ac:dyDescent="0.2">
      <c r="A29" s="63">
        <f t="shared" si="41"/>
        <v>10.25</v>
      </c>
      <c r="B29" s="64">
        <f t="shared" si="0"/>
        <v>4.2637776636954055</v>
      </c>
      <c r="C29" s="64">
        <f t="shared" si="1"/>
        <v>6.2637776636954055</v>
      </c>
      <c r="D29" s="183">
        <f t="shared" si="2"/>
        <v>-55.936790945103496</v>
      </c>
      <c r="E29" s="64">
        <f t="shared" si="3"/>
        <v>0.41371049999999993</v>
      </c>
      <c r="F29" s="65">
        <f t="shared" si="4"/>
        <v>5391.8833946826726</v>
      </c>
      <c r="G29" s="65">
        <f t="shared" si="5"/>
        <v>32520.325203252032</v>
      </c>
      <c r="H29" s="66">
        <f t="shared" si="6"/>
        <v>203.28591619903358</v>
      </c>
      <c r="I29" s="66">
        <f t="shared" si="7"/>
        <v>240.77213902957592</v>
      </c>
      <c r="J29" s="426">
        <f t="shared" si="8"/>
        <v>1.0059794937136224</v>
      </c>
      <c r="K29" s="253">
        <f t="shared" si="9"/>
        <v>0.22405944481850937</v>
      </c>
      <c r="L29" s="271">
        <f t="shared" si="10"/>
        <v>0.37320114601709431</v>
      </c>
      <c r="M29" s="272">
        <f t="shared" si="11"/>
        <v>1.0657046360419902</v>
      </c>
      <c r="N29" s="256">
        <f t="shared" si="47"/>
        <v>0.38773299635449909</v>
      </c>
      <c r="O29" s="64">
        <f t="shared" si="12"/>
        <v>-0.35587498239191984</v>
      </c>
      <c r="P29" s="64">
        <f t="shared" si="13"/>
        <v>2.523424596379829E-2</v>
      </c>
      <c r="Q29" s="64">
        <f t="shared" si="14"/>
        <v>6.9574314608070911E-2</v>
      </c>
      <c r="R29" s="271">
        <f t="shared" si="44"/>
        <v>0.5879912455980425</v>
      </c>
      <c r="S29" s="64">
        <f t="shared" si="45"/>
        <v>2.2099102786053315E-2</v>
      </c>
      <c r="T29" s="344">
        <f t="shared" si="33"/>
        <v>6.7103559627727867</v>
      </c>
      <c r="U29" s="279">
        <f t="shared" si="34"/>
        <v>7.6269188976161928</v>
      </c>
      <c r="V29" s="168">
        <f t="shared" si="15"/>
        <v>2.4465782990773812</v>
      </c>
      <c r="W29" s="184">
        <f t="shared" si="16"/>
        <v>-0.16035596277278596</v>
      </c>
      <c r="X29" s="457">
        <f t="shared" si="17"/>
        <v>-13.522679632031874</v>
      </c>
      <c r="Y29" s="72">
        <f t="shared" si="18"/>
        <v>1.151645481845599</v>
      </c>
      <c r="Z29" s="73">
        <f t="shared" si="19"/>
        <v>0.89661766643607665</v>
      </c>
      <c r="AA29" s="301">
        <f t="shared" si="48"/>
        <v>0.66574610829140635</v>
      </c>
      <c r="AB29" s="69">
        <f t="shared" si="20"/>
        <v>0.75334880923198133</v>
      </c>
      <c r="AC29" s="68">
        <f t="shared" si="21"/>
        <v>0.58942105107006126</v>
      </c>
      <c r="AD29" s="68">
        <f t="shared" si="22"/>
        <v>0.72791712382976748</v>
      </c>
      <c r="AE29" s="23">
        <f t="shared" si="23"/>
        <v>1.3925125107283387</v>
      </c>
      <c r="AF29" s="23">
        <f t="shared" si="24"/>
        <v>0.91077845296285953</v>
      </c>
      <c r="AG29" s="23">
        <f t="shared" si="25"/>
        <v>1.7011233914843487</v>
      </c>
      <c r="AH29" s="23">
        <f t="shared" si="26"/>
        <v>0.60216757220684936</v>
      </c>
      <c r="AI29" s="23">
        <f t="shared" si="27"/>
        <v>1.4602563626016092</v>
      </c>
      <c r="AJ29" s="23">
        <f t="shared" si="28"/>
        <v>0.84303460108958894</v>
      </c>
      <c r="AK29" s="295">
        <f t="shared" si="46"/>
        <v>2.1231739789888027E-3</v>
      </c>
      <c r="AL29" s="70">
        <f t="shared" si="29"/>
        <v>6.5500000000000007</v>
      </c>
      <c r="AM29" s="191">
        <f t="shared" si="37"/>
        <v>10</v>
      </c>
      <c r="AN29" s="192">
        <f t="shared" si="42"/>
        <v>9</v>
      </c>
      <c r="AO29" s="71">
        <f t="shared" si="38"/>
        <v>0</v>
      </c>
      <c r="AP29" s="352">
        <f t="shared" si="39"/>
        <v>0</v>
      </c>
      <c r="AQ29" s="353">
        <f t="shared" si="43"/>
        <v>0</v>
      </c>
      <c r="AR29" s="353">
        <f t="shared" ref="AR29:AR37" si="49">IF($A29=$L$3,B_1*Tb_eff*(1-$G$9)/(SQRT(8)*SQRT($H29^2+$AG$8^2)),0)</f>
        <v>0</v>
      </c>
    </row>
    <row r="30" spans="1:44" s="74" customFormat="1" ht="15" customHeight="1" x14ac:dyDescent="0.2">
      <c r="A30" s="63">
        <f t="shared" si="41"/>
        <v>10.5</v>
      </c>
      <c r="B30" s="64">
        <f t="shared" si="0"/>
        <v>4.3677722408587085</v>
      </c>
      <c r="C30" s="64">
        <f t="shared" si="1"/>
        <v>6.3677722408587085</v>
      </c>
      <c r="D30" s="183">
        <f t="shared" si="2"/>
        <v>-57.301102919374316</v>
      </c>
      <c r="E30" s="64">
        <f t="shared" si="3"/>
        <v>0.42380099999999993</v>
      </c>
      <c r="F30" s="65">
        <f t="shared" si="4"/>
        <v>5263.5052186187995</v>
      </c>
      <c r="G30" s="65">
        <f t="shared" si="5"/>
        <v>31746.031746031746</v>
      </c>
      <c r="H30" s="66">
        <f t="shared" si="6"/>
        <v>204.27242189621768</v>
      </c>
      <c r="I30" s="66">
        <f t="shared" si="7"/>
        <v>241.60563229226111</v>
      </c>
      <c r="J30" s="426">
        <f t="shared" si="8"/>
        <v>1.0190901242663779</v>
      </c>
      <c r="K30" s="253">
        <f t="shared" si="9"/>
        <v>0.22443667825517144</v>
      </c>
      <c r="L30" s="271">
        <f t="shared" si="10"/>
        <v>0.37380550943679802</v>
      </c>
      <c r="M30" s="272">
        <f t="shared" si="11"/>
        <v>1.067003820967571</v>
      </c>
      <c r="N30" s="256">
        <f t="shared" si="47"/>
        <v>0.37926099547420866</v>
      </c>
      <c r="O30" s="64">
        <f t="shared" si="12"/>
        <v>-0.36455486001123494</v>
      </c>
      <c r="P30" s="64">
        <f t="shared" si="13"/>
        <v>2.6399316694015722E-2</v>
      </c>
      <c r="Q30" s="64">
        <f t="shared" si="14"/>
        <v>7.626387299052223E-2</v>
      </c>
      <c r="R30" s="271">
        <f t="shared" si="44"/>
        <v>0.58425777732114526</v>
      </c>
      <c r="S30" s="64">
        <f t="shared" si="45"/>
        <v>2.4096845983073822E-2</v>
      </c>
      <c r="T30" s="344">
        <f t="shared" si="33"/>
        <v>6.824547366330834</v>
      </c>
      <c r="U30" s="279">
        <f t="shared" si="34"/>
        <v>7.7421823561167793</v>
      </c>
      <c r="V30" s="168">
        <f t="shared" si="15"/>
        <v>2.4567751254721255</v>
      </c>
      <c r="W30" s="184">
        <f t="shared" si="16"/>
        <v>-0.27454736633083332</v>
      </c>
      <c r="X30" s="457">
        <f t="shared" si="17"/>
        <v>-13.622157170018951</v>
      </c>
      <c r="Y30" s="72">
        <f t="shared" si="18"/>
        <v>1.1476725250026105</v>
      </c>
      <c r="Z30" s="73">
        <f t="shared" si="19"/>
        <v>0.8954221488842492</v>
      </c>
      <c r="AA30" s="301">
        <f t="shared" si="48"/>
        <v>0.66494287539383889</v>
      </c>
      <c r="AB30" s="69">
        <f t="shared" si="20"/>
        <v>0.7510127666545594</v>
      </c>
      <c r="AC30" s="68">
        <f t="shared" si="21"/>
        <v>0.58741757712856746</v>
      </c>
      <c r="AD30" s="68">
        <f t="shared" si="22"/>
        <v>0.72562199178545828</v>
      </c>
      <c r="AE30" s="23">
        <f t="shared" si="23"/>
        <v>1.3877086086632873</v>
      </c>
      <c r="AF30" s="23">
        <f t="shared" si="24"/>
        <v>0.907636441341934</v>
      </c>
      <c r="AG30" s="23">
        <f t="shared" si="25"/>
        <v>1.6952548408535291</v>
      </c>
      <c r="AH30" s="23">
        <f t="shared" si="26"/>
        <v>0.60009020915169198</v>
      </c>
      <c r="AI30" s="23">
        <f t="shared" si="27"/>
        <v>1.4552187571928525</v>
      </c>
      <c r="AJ30" s="23">
        <f t="shared" si="28"/>
        <v>0.84012629281236861</v>
      </c>
      <c r="AK30" s="295">
        <f t="shared" si="46"/>
        <v>2.1063338055942534E-3</v>
      </c>
      <c r="AL30" s="70">
        <f t="shared" si="29"/>
        <v>6.5500000000000007</v>
      </c>
      <c r="AM30" s="191">
        <f t="shared" si="37"/>
        <v>10</v>
      </c>
      <c r="AN30" s="192">
        <f t="shared" si="42"/>
        <v>9</v>
      </c>
      <c r="AO30" s="71">
        <f t="shared" si="38"/>
        <v>0</v>
      </c>
      <c r="AP30" s="352">
        <f t="shared" si="39"/>
        <v>0</v>
      </c>
      <c r="AQ30" s="353">
        <f t="shared" si="43"/>
        <v>0</v>
      </c>
      <c r="AR30" s="353">
        <f t="shared" si="49"/>
        <v>0</v>
      </c>
    </row>
    <row r="31" spans="1:44" s="74" customFormat="1" ht="15" customHeight="1" x14ac:dyDescent="0.2">
      <c r="A31" s="63">
        <f t="shared" si="41"/>
        <v>10.75</v>
      </c>
      <c r="B31" s="64">
        <f t="shared" si="0"/>
        <v>4.4717668180220107</v>
      </c>
      <c r="C31" s="64">
        <f t="shared" si="1"/>
        <v>6.4717668180220107</v>
      </c>
      <c r="D31" s="183">
        <f t="shared" si="2"/>
        <v>-58.665414893645128</v>
      </c>
      <c r="E31" s="64">
        <f t="shared" si="3"/>
        <v>0.43389149999999993</v>
      </c>
      <c r="F31" s="65">
        <f t="shared" si="4"/>
        <v>5141.0981205113858</v>
      </c>
      <c r="G31" s="65">
        <f t="shared" si="5"/>
        <v>31007.751937984493</v>
      </c>
      <c r="H31" s="66">
        <f t="shared" si="6"/>
        <v>205.27778527982437</v>
      </c>
      <c r="I31" s="66">
        <f t="shared" si="7"/>
        <v>242.45624004629497</v>
      </c>
      <c r="J31" s="426">
        <f t="shared" si="8"/>
        <v>1.0325406355606745</v>
      </c>
      <c r="K31" s="253">
        <f t="shared" si="9"/>
        <v>0.22481311421988104</v>
      </c>
      <c r="L31" s="271">
        <f t="shared" si="10"/>
        <v>0.37440865100956677</v>
      </c>
      <c r="M31" s="272">
        <f t="shared" si="11"/>
        <v>1.0683014687021357</v>
      </c>
      <c r="N31" s="256">
        <f t="shared" si="47"/>
        <v>0.37100937777456516</v>
      </c>
      <c r="O31" s="64">
        <f t="shared" si="12"/>
        <v>-0.3732347376305501</v>
      </c>
      <c r="P31" s="64">
        <f t="shared" si="13"/>
        <v>2.7584934439340365E-2</v>
      </c>
      <c r="Q31" s="64">
        <f t="shared" si="14"/>
        <v>8.3404030371473634E-2</v>
      </c>
      <c r="R31" s="271">
        <f t="shared" si="44"/>
        <v>0.58068107039238948</v>
      </c>
      <c r="S31" s="64">
        <f t="shared" si="45"/>
        <v>2.6225194772014015E-2</v>
      </c>
      <c r="T31" s="344">
        <f t="shared" si="33"/>
        <v>6.9400357779026951</v>
      </c>
      <c r="U31" s="279">
        <f t="shared" si="34"/>
        <v>7.8587417098151446</v>
      </c>
      <c r="V31" s="168">
        <f t="shared" si="15"/>
        <v>2.4682689598806844</v>
      </c>
      <c r="W31" s="184">
        <f t="shared" si="16"/>
        <v>-0.39003577790269439</v>
      </c>
      <c r="X31" s="457">
        <f t="shared" si="17"/>
        <v>-13.722527754329274</v>
      </c>
      <c r="Y31" s="72">
        <f t="shared" si="18"/>
        <v>1.1436461524552493</v>
      </c>
      <c r="Z31" s="73">
        <f t="shared" si="19"/>
        <v>0.8941993835380303</v>
      </c>
      <c r="AA31" s="301">
        <f t="shared" si="48"/>
        <v>0.66405512614571349</v>
      </c>
      <c r="AB31" s="69">
        <f t="shared" si="20"/>
        <v>0.74862551528701715</v>
      </c>
      <c r="AC31" s="68">
        <f t="shared" si="21"/>
        <v>0.58537541428538598</v>
      </c>
      <c r="AD31" s="68">
        <f t="shared" si="22"/>
        <v>0.7232776935849079</v>
      </c>
      <c r="AE31" s="23">
        <f t="shared" si="23"/>
        <v>1.3828401189818371</v>
      </c>
      <c r="AF31" s="23">
        <f t="shared" si="24"/>
        <v>0.90445218592866117</v>
      </c>
      <c r="AG31" s="23">
        <f t="shared" si="25"/>
        <v>1.689307388594028</v>
      </c>
      <c r="AH31" s="23">
        <f t="shared" si="26"/>
        <v>0.59798491631647033</v>
      </c>
      <c r="AI31" s="23">
        <f t="shared" si="27"/>
        <v>1.4501134220674401</v>
      </c>
      <c r="AJ31" s="23">
        <f t="shared" si="28"/>
        <v>0.8371788828430583</v>
      </c>
      <c r="AK31" s="295">
        <f t="shared" si="46"/>
        <v>2.0894965443893992E-3</v>
      </c>
      <c r="AL31" s="70">
        <f t="shared" si="29"/>
        <v>6.5500000000000007</v>
      </c>
      <c r="AM31" s="191">
        <f t="shared" si="37"/>
        <v>10</v>
      </c>
      <c r="AN31" s="192">
        <f t="shared" si="42"/>
        <v>9</v>
      </c>
      <c r="AO31" s="71">
        <f t="shared" si="38"/>
        <v>0</v>
      </c>
      <c r="AP31" s="352">
        <f t="shared" si="39"/>
        <v>0</v>
      </c>
      <c r="AQ31" s="353">
        <f t="shared" si="43"/>
        <v>0</v>
      </c>
      <c r="AR31" s="353">
        <f t="shared" si="49"/>
        <v>0</v>
      </c>
    </row>
    <row r="32" spans="1:44" s="74" customFormat="1" ht="15" customHeight="1" x14ac:dyDescent="0.2">
      <c r="A32" s="63">
        <f t="shared" si="41"/>
        <v>11</v>
      </c>
      <c r="B32" s="64">
        <f t="shared" si="0"/>
        <v>4.5757613951853138</v>
      </c>
      <c r="C32" s="64">
        <f t="shared" si="1"/>
        <v>6.5757613951853138</v>
      </c>
      <c r="D32" s="183">
        <f t="shared" si="2"/>
        <v>-60.029726867915947</v>
      </c>
      <c r="E32" s="64">
        <f t="shared" si="3"/>
        <v>0.44398199999999993</v>
      </c>
      <c r="F32" s="65">
        <f t="shared" si="4"/>
        <v>5024.2549814088543</v>
      </c>
      <c r="G32" s="65">
        <f t="shared" si="5"/>
        <v>30303.0303030303</v>
      </c>
      <c r="H32" s="66">
        <f t="shared" si="6"/>
        <v>206.30173065442401</v>
      </c>
      <c r="I32" s="66">
        <f t="shared" si="7"/>
        <v>243.32378280597118</v>
      </c>
      <c r="J32" s="426">
        <f t="shared" si="8"/>
        <v>1.0463320859564826</v>
      </c>
      <c r="K32" s="253">
        <f t="shared" si="9"/>
        <v>0.22518832672283184</v>
      </c>
      <c r="L32" s="271">
        <f t="shared" si="10"/>
        <v>0.37500989097144877</v>
      </c>
      <c r="M32" s="272">
        <f t="shared" si="11"/>
        <v>1.0695961808545569</v>
      </c>
      <c r="N32" s="256">
        <f t="shared" si="47"/>
        <v>0.36297158595305962</v>
      </c>
      <c r="O32" s="64">
        <f t="shared" si="12"/>
        <v>-0.3819146152498652</v>
      </c>
      <c r="P32" s="64">
        <f t="shared" si="13"/>
        <v>2.8790611906846061E-2</v>
      </c>
      <c r="Q32" s="64">
        <f t="shared" si="14"/>
        <v>9.1012420070826577E-2</v>
      </c>
      <c r="R32" s="271">
        <f t="shared" si="44"/>
        <v>0.57725956973438142</v>
      </c>
      <c r="S32" s="64">
        <f t="shared" si="45"/>
        <v>2.849052633042426E-2</v>
      </c>
      <c r="T32" s="344">
        <f t="shared" si="33"/>
        <v>7.0568374742019362</v>
      </c>
      <c r="U32" s="279">
        <f t="shared" si="34"/>
        <v>7.9766120908078761</v>
      </c>
      <c r="V32" s="168">
        <f t="shared" si="15"/>
        <v>2.4810760790166224</v>
      </c>
      <c r="W32" s="184">
        <f t="shared" si="16"/>
        <v>-0.50683747420193548</v>
      </c>
      <c r="X32" s="457">
        <f t="shared" si="17"/>
        <v>-13.823804094491621</v>
      </c>
      <c r="Y32" s="72">
        <f t="shared" si="18"/>
        <v>1.1395686145847104</v>
      </c>
      <c r="Z32" s="73">
        <f t="shared" si="19"/>
        <v>0.89294954998037335</v>
      </c>
      <c r="AA32" s="301">
        <f t="shared" si="48"/>
        <v>0.66308414513410108</v>
      </c>
      <c r="AB32" s="69">
        <f t="shared" si="20"/>
        <v>0.74618748142681679</v>
      </c>
      <c r="AC32" s="68">
        <f t="shared" si="21"/>
        <v>0.58329511680744295</v>
      </c>
      <c r="AD32" s="68">
        <f t="shared" si="22"/>
        <v>0.72088469023589985</v>
      </c>
      <c r="AE32" s="23">
        <f t="shared" si="23"/>
        <v>1.3779097627331465</v>
      </c>
      <c r="AF32" s="23">
        <f t="shared" si="24"/>
        <v>0.90122746643627438</v>
      </c>
      <c r="AG32" s="23">
        <f t="shared" si="25"/>
        <v>1.6832843587983302</v>
      </c>
      <c r="AH32" s="23">
        <f t="shared" si="26"/>
        <v>0.59585287037109058</v>
      </c>
      <c r="AI32" s="23">
        <f t="shared" si="27"/>
        <v>1.4449432106498941</v>
      </c>
      <c r="AJ32" s="23">
        <f t="shared" si="28"/>
        <v>0.83419401851952668</v>
      </c>
      <c r="AK32" s="295">
        <f t="shared" si="46"/>
        <v>2.0726745455097815E-3</v>
      </c>
      <c r="AL32" s="70">
        <f t="shared" si="29"/>
        <v>6.5500000000000007</v>
      </c>
      <c r="AM32" s="191">
        <f t="shared" si="37"/>
        <v>10</v>
      </c>
      <c r="AN32" s="192">
        <f t="shared" si="42"/>
        <v>9</v>
      </c>
      <c r="AO32" s="71">
        <f t="shared" si="38"/>
        <v>0</v>
      </c>
      <c r="AP32" s="352">
        <f t="shared" si="39"/>
        <v>0</v>
      </c>
      <c r="AQ32" s="353">
        <f t="shared" si="43"/>
        <v>0</v>
      </c>
      <c r="AR32" s="353">
        <f t="shared" si="49"/>
        <v>0</v>
      </c>
    </row>
    <row r="33" spans="1:49" s="62" customFormat="1" ht="15" customHeight="1" x14ac:dyDescent="0.25">
      <c r="A33" s="51">
        <f t="shared" si="41"/>
        <v>11.25</v>
      </c>
      <c r="B33" s="52">
        <f t="shared" si="0"/>
        <v>4.679755972348616</v>
      </c>
      <c r="C33" s="52">
        <f t="shared" si="1"/>
        <v>6.679755972348616</v>
      </c>
      <c r="D33" s="180">
        <f t="shared" si="2"/>
        <v>-61.394038842186767</v>
      </c>
      <c r="E33" s="52">
        <f t="shared" si="3"/>
        <v>0.45407249999999993</v>
      </c>
      <c r="F33" s="53">
        <f t="shared" si="4"/>
        <v>4912.6048707108794</v>
      </c>
      <c r="G33" s="53">
        <f t="shared" si="5"/>
        <v>29629.629629629628</v>
      </c>
      <c r="H33" s="54">
        <f t="shared" si="6"/>
        <v>207.3439827248643</v>
      </c>
      <c r="I33" s="54">
        <f t="shared" si="7"/>
        <v>244.20808008787458</v>
      </c>
      <c r="J33" s="425">
        <f t="shared" si="8"/>
        <v>1.0604655010270838</v>
      </c>
      <c r="K33" s="252">
        <f t="shared" si="9"/>
        <v>0.22556190502227524</v>
      </c>
      <c r="L33" s="268">
        <f t="shared" si="10"/>
        <v>0.37560857400939507</v>
      </c>
      <c r="M33" s="269">
        <f t="shared" si="11"/>
        <v>1.0708866128666961</v>
      </c>
      <c r="N33" s="270">
        <f t="shared" si="47"/>
        <v>0.35514128745312723</v>
      </c>
      <c r="O33" s="52">
        <f t="shared" si="12"/>
        <v>-0.39059449286918035</v>
      </c>
      <c r="P33" s="52">
        <f t="shared" si="13"/>
        <v>3.0015855912857933E-2</v>
      </c>
      <c r="Q33" s="52">
        <f t="shared" si="14"/>
        <v>9.9106896803423952E-2</v>
      </c>
      <c r="R33" s="268">
        <f t="shared" si="44"/>
        <v>0.57399178437266607</v>
      </c>
      <c r="S33" s="52">
        <f t="shared" si="45"/>
        <v>3.0899591240665658E-2</v>
      </c>
      <c r="T33" s="282">
        <f t="shared" si="33"/>
        <v>7.1749696072549787</v>
      </c>
      <c r="U33" s="278">
        <f t="shared" si="34"/>
        <v>8.0958095511345558</v>
      </c>
      <c r="V33" s="181">
        <f t="shared" si="15"/>
        <v>2.4952136349063627</v>
      </c>
      <c r="W33" s="182">
        <f t="shared" si="16"/>
        <v>-0.62496960725497797</v>
      </c>
      <c r="X33" s="456">
        <f t="shared" si="17"/>
        <v>-13.925999596980994</v>
      </c>
      <c r="Y33" s="59">
        <f t="shared" si="18"/>
        <v>1.1354421441253502</v>
      </c>
      <c r="Z33" s="60">
        <f t="shared" si="19"/>
        <v>0.8916728374557662</v>
      </c>
      <c r="AA33" s="300">
        <f t="shared" si="48"/>
        <v>0.66203120996045361</v>
      </c>
      <c r="AB33" s="56">
        <f t="shared" si="20"/>
        <v>0.74369910595249222</v>
      </c>
      <c r="AC33" s="55">
        <f t="shared" si="21"/>
        <v>0.58117723992339898</v>
      </c>
      <c r="AD33" s="55">
        <f t="shared" si="22"/>
        <v>0.71844345462378056</v>
      </c>
      <c r="AE33" s="61">
        <f t="shared" si="23"/>
        <v>1.3729202396286915</v>
      </c>
      <c r="AF33" s="61">
        <f t="shared" si="24"/>
        <v>0.89796404862200918</v>
      </c>
      <c r="AG33" s="61">
        <f t="shared" si="25"/>
        <v>1.6771890494923472</v>
      </c>
      <c r="AH33" s="61">
        <f t="shared" si="26"/>
        <v>0.59369523875835317</v>
      </c>
      <c r="AI33" s="61">
        <f t="shared" si="27"/>
        <v>1.4397109539890061</v>
      </c>
      <c r="AJ33" s="61">
        <f t="shared" si="28"/>
        <v>0.83117333426169437</v>
      </c>
      <c r="AK33" s="306">
        <f t="shared" si="46"/>
        <v>2.0558794571941389E-3</v>
      </c>
      <c r="AL33" s="57">
        <f t="shared" si="29"/>
        <v>6.5500000000000007</v>
      </c>
      <c r="AM33" s="190">
        <f t="shared" si="37"/>
        <v>10</v>
      </c>
      <c r="AN33" s="193">
        <f t="shared" si="42"/>
        <v>9</v>
      </c>
      <c r="AO33" s="58">
        <f t="shared" si="38"/>
        <v>0</v>
      </c>
      <c r="AP33" s="350">
        <f t="shared" si="39"/>
        <v>0</v>
      </c>
      <c r="AQ33" s="351">
        <f t="shared" si="43"/>
        <v>0</v>
      </c>
      <c r="AR33" s="351">
        <f t="shared" si="49"/>
        <v>0</v>
      </c>
    </row>
    <row r="34" spans="1:49" s="74" customFormat="1" ht="15" customHeight="1" x14ac:dyDescent="0.2">
      <c r="A34" s="63">
        <f t="shared" si="41"/>
        <v>11.5</v>
      </c>
      <c r="B34" s="64">
        <f t="shared" si="0"/>
        <v>4.783750549511919</v>
      </c>
      <c r="C34" s="64">
        <f t="shared" si="1"/>
        <v>6.783750549511919</v>
      </c>
      <c r="D34" s="183">
        <f t="shared" si="2"/>
        <v>-62.758350816457579</v>
      </c>
      <c r="E34" s="64">
        <f t="shared" si="3"/>
        <v>0.46416299999999994</v>
      </c>
      <c r="F34" s="65">
        <f t="shared" si="4"/>
        <v>4805.8091126519475</v>
      </c>
      <c r="G34" s="65">
        <f t="shared" si="5"/>
        <v>28985.507246376808</v>
      </c>
      <c r="H34" s="66">
        <f t="shared" si="6"/>
        <v>208.40426683008346</v>
      </c>
      <c r="I34" s="66">
        <f t="shared" si="7"/>
        <v>245.10895055256867</v>
      </c>
      <c r="J34" s="426">
        <f t="shared" si="8"/>
        <v>1.0749418721040851</v>
      </c>
      <c r="K34" s="253">
        <f t="shared" si="9"/>
        <v>0.22593345435503798</v>
      </c>
      <c r="L34" s="271">
        <f t="shared" si="10"/>
        <v>0.37620407044194293</v>
      </c>
      <c r="M34" s="272">
        <f t="shared" si="11"/>
        <v>1.072171476727757</v>
      </c>
      <c r="N34" s="256">
        <f t="shared" si="47"/>
        <v>0.34751236543994302</v>
      </c>
      <c r="O34" s="64">
        <f t="shared" si="12"/>
        <v>-0.3992743704884954</v>
      </c>
      <c r="P34" s="64">
        <f t="shared" si="13"/>
        <v>3.1260167717682801E-2</v>
      </c>
      <c r="Q34" s="64">
        <f t="shared" si="14"/>
        <v>0.10770554487587015</v>
      </c>
      <c r="R34" s="271">
        <f t="shared" si="44"/>
        <v>0.5708762856547388</v>
      </c>
      <c r="S34" s="64">
        <f t="shared" si="45"/>
        <v>3.3459548409522921E-2</v>
      </c>
      <c r="T34" s="344">
        <f t="shared" si="33"/>
        <v>7.2944502364380224</v>
      </c>
      <c r="U34" s="279">
        <f t="shared" si="34"/>
        <v>8.2163510970788742</v>
      </c>
      <c r="V34" s="168">
        <f t="shared" si="15"/>
        <v>2.5106996869261033</v>
      </c>
      <c r="W34" s="184">
        <f t="shared" si="16"/>
        <v>-0.74445023643802166</v>
      </c>
      <c r="X34" s="457">
        <f t="shared" si="17"/>
        <v>-14.029128380070059</v>
      </c>
      <c r="Y34" s="72">
        <f t="shared" si="18"/>
        <v>1.1312689538370906</v>
      </c>
      <c r="Z34" s="73">
        <f t="shared" si="19"/>
        <v>0.89036944491143999</v>
      </c>
      <c r="AA34" s="301">
        <f t="shared" si="48"/>
        <v>0.66089759153270944</v>
      </c>
      <c r="AB34" s="69">
        <f t="shared" si="20"/>
        <v>0.74116084426552331</v>
      </c>
      <c r="AC34" s="68">
        <f t="shared" si="21"/>
        <v>0.57902233941451309</v>
      </c>
      <c r="AD34" s="68">
        <f t="shared" si="22"/>
        <v>0.71595447137630019</v>
      </c>
      <c r="AE34" s="23">
        <f t="shared" si="23"/>
        <v>1.3678742252278546</v>
      </c>
      <c r="AF34" s="23">
        <f t="shared" si="24"/>
        <v>0.89466368244632666</v>
      </c>
      <c r="AG34" s="23">
        <f t="shared" si="25"/>
        <v>1.6710247291972709</v>
      </c>
      <c r="AH34" s="23">
        <f t="shared" si="26"/>
        <v>0.59151317847691021</v>
      </c>
      <c r="AI34" s="23">
        <f t="shared" si="27"/>
        <v>1.434419457806507</v>
      </c>
      <c r="AJ34" s="23">
        <f t="shared" si="28"/>
        <v>0.82811844986767424</v>
      </c>
      <c r="AK34" s="295">
        <f t="shared" si="46"/>
        <v>2.0391222416219646E-3</v>
      </c>
      <c r="AL34" s="70">
        <f t="shared" si="29"/>
        <v>6.5500000000000007</v>
      </c>
      <c r="AM34" s="191">
        <f t="shared" si="37"/>
        <v>10</v>
      </c>
      <c r="AN34" s="192">
        <f t="shared" si="42"/>
        <v>9</v>
      </c>
      <c r="AO34" s="71">
        <f t="shared" si="38"/>
        <v>0</v>
      </c>
      <c r="AP34" s="352">
        <f t="shared" si="39"/>
        <v>0</v>
      </c>
      <c r="AQ34" s="353">
        <f t="shared" si="43"/>
        <v>0</v>
      </c>
      <c r="AR34" s="353">
        <f t="shared" si="49"/>
        <v>0</v>
      </c>
    </row>
    <row r="35" spans="1:49" s="74" customFormat="1" ht="15" customHeight="1" x14ac:dyDescent="0.2">
      <c r="A35" s="63">
        <f t="shared" si="41"/>
        <v>11.75</v>
      </c>
      <c r="B35" s="64">
        <f t="shared" si="0"/>
        <v>4.8877451266752212</v>
      </c>
      <c r="C35" s="64">
        <f t="shared" si="1"/>
        <v>6.8877451266752212</v>
      </c>
      <c r="D35" s="183">
        <f t="shared" si="2"/>
        <v>-64.122662790728398</v>
      </c>
      <c r="E35" s="64">
        <f t="shared" si="3"/>
        <v>0.47425349999999994</v>
      </c>
      <c r="F35" s="65">
        <f t="shared" si="4"/>
        <v>4703.5578549359489</v>
      </c>
      <c r="G35" s="65">
        <f t="shared" si="5"/>
        <v>28368.794326241132</v>
      </c>
      <c r="H35" s="66">
        <f t="shared" si="6"/>
        <v>209.48230916556633</v>
      </c>
      <c r="I35" s="66">
        <f t="shared" si="7"/>
        <v>246.02621214280165</v>
      </c>
      <c r="J35" s="426">
        <f t="shared" si="8"/>
        <v>1.0897621549871621</v>
      </c>
      <c r="K35" s="253">
        <f t="shared" si="9"/>
        <v>0.22630259660528473</v>
      </c>
      <c r="L35" s="271">
        <f t="shared" si="10"/>
        <v>0.37679577730186575</v>
      </c>
      <c r="M35" s="272">
        <f t="shared" si="11"/>
        <v>1.0734495434916318</v>
      </c>
      <c r="N35" s="256">
        <f t="shared" si="47"/>
        <v>0.3400789102096875</v>
      </c>
      <c r="O35" s="64">
        <f t="shared" si="12"/>
        <v>-0.40795424810781056</v>
      </c>
      <c r="P35" s="64">
        <f t="shared" si="13"/>
        <v>3.2523043362299699E-2</v>
      </c>
      <c r="Q35" s="64">
        <f t="shared" si="14"/>
        <v>0.11682668838541438</v>
      </c>
      <c r="R35" s="271">
        <f t="shared" si="44"/>
        <v>0.56791170602694407</v>
      </c>
      <c r="S35" s="64">
        <f t="shared" si="45"/>
        <v>3.6178003002284465E-2</v>
      </c>
      <c r="T35" s="344">
        <f t="shared" si="33"/>
        <v>7.415298366588579</v>
      </c>
      <c r="U35" s="279">
        <f t="shared" si="34"/>
        <v>8.33825472938363</v>
      </c>
      <c r="V35" s="168">
        <f t="shared" si="15"/>
        <v>2.5275532399133578</v>
      </c>
      <c r="W35" s="184">
        <f t="shared" si="16"/>
        <v>-0.86529836658857828</v>
      </c>
      <c r="X35" s="457">
        <f t="shared" si="17"/>
        <v>-14.133205293181238</v>
      </c>
      <c r="Y35" s="72">
        <f t="shared" si="18"/>
        <v>1.1270512343081833</v>
      </c>
      <c r="Z35" s="73">
        <f t="shared" si="19"/>
        <v>0.88903958101519853</v>
      </c>
      <c r="AA35" s="301">
        <f t="shared" si="48"/>
        <v>0.6596845543306078</v>
      </c>
      <c r="AB35" s="69">
        <f t="shared" si="20"/>
        <v>0.73857316620442193</v>
      </c>
      <c r="AC35" s="68">
        <f t="shared" si="21"/>
        <v>0.57683097122826443</v>
      </c>
      <c r="AD35" s="68">
        <f t="shared" si="22"/>
        <v>0.71341823671125071</v>
      </c>
      <c r="AE35" s="23">
        <f t="shared" si="23"/>
        <v>1.3627743682811364</v>
      </c>
      <c r="AF35" s="23">
        <f t="shared" si="24"/>
        <v>0.89132810033523002</v>
      </c>
      <c r="AG35" s="23">
        <f t="shared" si="25"/>
        <v>1.6647946336839829</v>
      </c>
      <c r="AH35" s="23">
        <f t="shared" si="26"/>
        <v>0.58930783493238348</v>
      </c>
      <c r="AI35" s="23">
        <f t="shared" si="27"/>
        <v>1.4290714997110296</v>
      </c>
      <c r="AJ35" s="23">
        <f t="shared" si="28"/>
        <v>0.82503096890533689</v>
      </c>
      <c r="AK35" s="295">
        <f t="shared" si="46"/>
        <v>2.0224131924227594E-3</v>
      </c>
      <c r="AL35" s="70">
        <f t="shared" si="29"/>
        <v>6.5500000000000007</v>
      </c>
      <c r="AM35" s="191">
        <f t="shared" si="37"/>
        <v>10</v>
      </c>
      <c r="AN35" s="192">
        <f t="shared" si="42"/>
        <v>9</v>
      </c>
      <c r="AO35" s="71">
        <f t="shared" si="38"/>
        <v>0</v>
      </c>
      <c r="AP35" s="352">
        <f t="shared" si="39"/>
        <v>0</v>
      </c>
      <c r="AQ35" s="353">
        <f t="shared" si="43"/>
        <v>0</v>
      </c>
      <c r="AR35" s="353">
        <f t="shared" si="49"/>
        <v>0</v>
      </c>
    </row>
    <row r="36" spans="1:49" s="74" customFormat="1" ht="15" customHeight="1" x14ac:dyDescent="0.2">
      <c r="A36" s="63">
        <f t="shared" si="41"/>
        <v>12</v>
      </c>
      <c r="B36" s="64">
        <f t="shared" si="0"/>
        <v>4.9917397038385234</v>
      </c>
      <c r="C36" s="64">
        <f t="shared" si="1"/>
        <v>6.9917397038385234</v>
      </c>
      <c r="D36" s="183">
        <f t="shared" si="2"/>
        <v>-65.486974764999218</v>
      </c>
      <c r="E36" s="64">
        <f t="shared" si="3"/>
        <v>0.48434399999999994</v>
      </c>
      <c r="F36" s="65">
        <f t="shared" si="4"/>
        <v>4605.5670662914499</v>
      </c>
      <c r="G36" s="65">
        <f t="shared" si="5"/>
        <v>27777.777777777777</v>
      </c>
      <c r="H36" s="66">
        <f t="shared" si="6"/>
        <v>210.57783699446793</v>
      </c>
      <c r="I36" s="66">
        <f t="shared" si="7"/>
        <v>246.95968221810142</v>
      </c>
      <c r="J36" s="426">
        <f t="shared" si="8"/>
        <v>1.1049272688202829</v>
      </c>
      <c r="K36" s="253">
        <f t="shared" si="9"/>
        <v>0.22666897091111249</v>
      </c>
      <c r="L36" s="271">
        <f t="shared" si="10"/>
        <v>0.37738311932008894</v>
      </c>
      <c r="M36" s="272">
        <f t="shared" si="11"/>
        <v>1.0747196455950259</v>
      </c>
      <c r="N36" s="256">
        <f t="shared" si="47"/>
        <v>0.33283521100764868</v>
      </c>
      <c r="O36" s="64">
        <f t="shared" si="12"/>
        <v>-0.41663412572712566</v>
      </c>
      <c r="P36" s="64">
        <f t="shared" si="13"/>
        <v>3.3803974006693237E-2</v>
      </c>
      <c r="Q36" s="64">
        <f t="shared" si="14"/>
        <v>0.1264889035046777</v>
      </c>
      <c r="R36" s="271">
        <f t="shared" si="44"/>
        <v>0.5650967382937454</v>
      </c>
      <c r="S36" s="64">
        <f t="shared" si="45"/>
        <v>3.906304771130642E-2</v>
      </c>
      <c r="T36" s="344">
        <f t="shared" si="33"/>
        <v>7.5375339924962743</v>
      </c>
      <c r="U36" s="279">
        <f t="shared" si="34"/>
        <v>8.4615394896823233</v>
      </c>
      <c r="V36" s="168">
        <f t="shared" si="15"/>
        <v>2.5457942886577509</v>
      </c>
      <c r="W36" s="184">
        <f t="shared" si="16"/>
        <v>-0.9875339924962736</v>
      </c>
      <c r="X36" s="457">
        <f t="shared" si="17"/>
        <v>-14.238245940883075</v>
      </c>
      <c r="Y36" s="72">
        <f t="shared" si="18"/>
        <v>1.1227911518886278</v>
      </c>
      <c r="Z36" s="73">
        <f t="shared" si="19"/>
        <v>0.88768346414994892</v>
      </c>
      <c r="AA36" s="301">
        <f t="shared" si="48"/>
        <v>0.65839335664457177</v>
      </c>
      <c r="AB36" s="69">
        <f t="shared" si="20"/>
        <v>0.73593655593119056</v>
      </c>
      <c r="AC36" s="68">
        <f t="shared" si="21"/>
        <v>0.57460369111481446</v>
      </c>
      <c r="AD36" s="68">
        <f t="shared" si="22"/>
        <v>0.71083525826705385</v>
      </c>
      <c r="AE36" s="23">
        <f t="shared" si="23"/>
        <v>1.357623288231347</v>
      </c>
      <c r="AF36" s="23">
        <f t="shared" si="24"/>
        <v>0.88795901554590828</v>
      </c>
      <c r="AG36" s="23">
        <f t="shared" si="25"/>
        <v>1.6585019629204565</v>
      </c>
      <c r="AH36" s="23">
        <f t="shared" si="26"/>
        <v>0.58708034085679894</v>
      </c>
      <c r="AI36" s="23">
        <f t="shared" si="27"/>
        <v>1.423669826577737</v>
      </c>
      <c r="AJ36" s="23">
        <f t="shared" si="28"/>
        <v>0.82191247719951843</v>
      </c>
      <c r="AK36" s="295">
        <f t="shared" si="46"/>
        <v>2.0057619535801207E-3</v>
      </c>
      <c r="AL36" s="70">
        <f t="shared" si="29"/>
        <v>6.5500000000000007</v>
      </c>
      <c r="AM36" s="191">
        <f t="shared" si="37"/>
        <v>10</v>
      </c>
      <c r="AN36" s="192">
        <f t="shared" si="42"/>
        <v>9</v>
      </c>
      <c r="AO36" s="71">
        <f t="shared" si="38"/>
        <v>0</v>
      </c>
      <c r="AP36" s="352">
        <f t="shared" si="39"/>
        <v>0</v>
      </c>
      <c r="AQ36" s="353">
        <f t="shared" si="43"/>
        <v>0</v>
      </c>
      <c r="AR36" s="353">
        <f t="shared" si="49"/>
        <v>0</v>
      </c>
    </row>
    <row r="37" spans="1:49" s="74" customFormat="1" ht="15" customHeight="1" x14ac:dyDescent="0.2">
      <c r="A37" s="63">
        <f t="shared" si="41"/>
        <v>12.25</v>
      </c>
      <c r="B37" s="64">
        <f t="shared" si="0"/>
        <v>5.0957342810018256</v>
      </c>
      <c r="C37" s="64">
        <f t="shared" si="1"/>
        <v>7.0957342810018256</v>
      </c>
      <c r="D37" s="183">
        <f t="shared" si="2"/>
        <v>-66.851286739270037</v>
      </c>
      <c r="E37" s="64">
        <f t="shared" si="3"/>
        <v>0.49443449999999994</v>
      </c>
      <c r="F37" s="65">
        <f t="shared" si="4"/>
        <v>4511.5759016732563</v>
      </c>
      <c r="G37" s="65">
        <f t="shared" si="5"/>
        <v>27210.884353741494</v>
      </c>
      <c r="H37" s="66">
        <f t="shared" si="6"/>
        <v>211.69057884747014</v>
      </c>
      <c r="I37" s="66">
        <f t="shared" si="7"/>
        <v>247.90917768564739</v>
      </c>
      <c r="J37" s="426">
        <f t="shared" si="8"/>
        <v>1.1204380951354245</v>
      </c>
      <c r="K37" s="253">
        <f t="shared" si="9"/>
        <v>0.22703223420900343</v>
      </c>
      <c r="L37" s="271">
        <f t="shared" si="10"/>
        <v>0.37796554981078256</v>
      </c>
      <c r="M37" s="272">
        <f t="shared" si="11"/>
        <v>1.0759806789750297</v>
      </c>
      <c r="N37" s="256">
        <f t="shared" si="47"/>
        <v>0.32577574823214445</v>
      </c>
      <c r="O37" s="64">
        <f t="shared" si="12"/>
        <v>-0.42531400334644087</v>
      </c>
      <c r="P37" s="64">
        <f t="shared" si="13"/>
        <v>3.5102446269514823E-2</v>
      </c>
      <c r="Q37" s="64">
        <f t="shared" si="14"/>
        <v>0.13671103294320158</v>
      </c>
      <c r="R37" s="271">
        <f t="shared" si="44"/>
        <v>0.56243013529245978</v>
      </c>
      <c r="S37" s="64">
        <f t="shared" si="45"/>
        <v>4.2123307724081349E-2</v>
      </c>
      <c r="T37" s="344">
        <f t="shared" si="33"/>
        <v>7.6611781501399205</v>
      </c>
      <c r="U37" s="279">
        <f t="shared" si="34"/>
        <v>8.5862255135131704</v>
      </c>
      <c r="V37" s="168">
        <f t="shared" si="15"/>
        <v>2.565443869138095</v>
      </c>
      <c r="W37" s="184">
        <f t="shared" si="16"/>
        <v>-1.1111781501399198</v>
      </c>
      <c r="X37" s="457">
        <f t="shared" si="17"/>
        <v>-14.3442667117145</v>
      </c>
      <c r="Y37" s="72">
        <f t="shared" si="18"/>
        <v>1.118490846754016</v>
      </c>
      <c r="Z37" s="73">
        <f t="shared" si="19"/>
        <v>0.88630132238512216</v>
      </c>
      <c r="AA37" s="301">
        <f t="shared" si="48"/>
        <v>0.65702525078856389</v>
      </c>
      <c r="AB37" s="69">
        <f t="shared" si="20"/>
        <v>0.73325151179041548</v>
      </c>
      <c r="AC37" s="68">
        <f t="shared" si="21"/>
        <v>0.57234105428627147</v>
      </c>
      <c r="AD37" s="68">
        <f t="shared" si="22"/>
        <v>0.70820605491650168</v>
      </c>
      <c r="AE37" s="23">
        <f t="shared" si="23"/>
        <v>1.3524235728725029</v>
      </c>
      <c r="AF37" s="23">
        <f t="shared" si="24"/>
        <v>0.88455812063552908</v>
      </c>
      <c r="AG37" s="23">
        <f t="shared" si="25"/>
        <v>1.6521498782118142</v>
      </c>
      <c r="AH37" s="23">
        <f t="shared" si="26"/>
        <v>0.58483181529621764</v>
      </c>
      <c r="AI37" s="23">
        <f t="shared" si="27"/>
        <v>1.4182171520933273</v>
      </c>
      <c r="AJ37" s="23">
        <f t="shared" si="28"/>
        <v>0.81876454141470456</v>
      </c>
      <c r="AK37" s="295">
        <f t="shared" si="46"/>
        <v>1.989177539473985E-3</v>
      </c>
      <c r="AL37" s="70">
        <f t="shared" si="29"/>
        <v>6.5500000000000007</v>
      </c>
      <c r="AM37" s="191">
        <f t="shared" si="37"/>
        <v>10</v>
      </c>
      <c r="AN37" s="192">
        <f t="shared" si="42"/>
        <v>9</v>
      </c>
      <c r="AO37" s="71">
        <f t="shared" si="38"/>
        <v>0</v>
      </c>
      <c r="AP37" s="352">
        <f t="shared" si="39"/>
        <v>0</v>
      </c>
      <c r="AQ37" s="353">
        <f t="shared" si="43"/>
        <v>0</v>
      </c>
      <c r="AR37" s="353">
        <f t="shared" si="49"/>
        <v>0</v>
      </c>
    </row>
    <row r="38" spans="1:49" s="85" customFormat="1" ht="15" customHeight="1" x14ac:dyDescent="0.25">
      <c r="A38" s="75">
        <f t="shared" si="41"/>
        <v>12.5</v>
      </c>
      <c r="B38" s="76">
        <f t="shared" si="0"/>
        <v>5.1997288581651286</v>
      </c>
      <c r="C38" s="76">
        <f t="shared" si="1"/>
        <v>7.1997288581651286</v>
      </c>
      <c r="D38" s="185">
        <f t="shared" si="2"/>
        <v>-68.215598713540842</v>
      </c>
      <c r="E38" s="76">
        <f t="shared" si="3"/>
        <v>0.50452499999999989</v>
      </c>
      <c r="F38" s="77">
        <f t="shared" si="4"/>
        <v>4421.3443836397928</v>
      </c>
      <c r="G38" s="77">
        <f t="shared" si="5"/>
        <v>26666.666666666664</v>
      </c>
      <c r="H38" s="78">
        <f t="shared" si="6"/>
        <v>212.82026471147606</v>
      </c>
      <c r="I38" s="78">
        <f t="shared" si="7"/>
        <v>248.87451512732207</v>
      </c>
      <c r="J38" s="427">
        <f t="shared" si="8"/>
        <v>1.1362954770642393</v>
      </c>
      <c r="K38" s="254">
        <f t="shared" si="9"/>
        <v>0.22739206171630344</v>
      </c>
      <c r="L38" s="257">
        <f t="shared" si="10"/>
        <v>0.37854255145790416</v>
      </c>
      <c r="M38" s="273">
        <f t="shared" si="11"/>
        <v>1.0772316049858193</v>
      </c>
      <c r="N38" s="270">
        <f t="shared" si="47"/>
        <v>0.31889518600271982</v>
      </c>
      <c r="O38" s="76">
        <f t="shared" si="12"/>
        <v>-0.43399388096575592</v>
      </c>
      <c r="P38" s="76">
        <f t="shared" si="13"/>
        <v>3.6417942568755447E-2</v>
      </c>
      <c r="Q38" s="76">
        <f t="shared" si="14"/>
        <v>0.14751220268542553</v>
      </c>
      <c r="R38" s="257">
        <f>10*LOG10(1/SQRT(1-AK38*(Q/AA38)^2))</f>
        <v>0.55991070992445724</v>
      </c>
      <c r="S38" s="76">
        <f>-10*LOG10(AA38*SQRT(1-Q*Q*((SD_blw^2+AK38)/AA38^2+Vmn+(P38*P38))))-$T$13-J38-L38-Q38-N38-R38-Pmn</f>
        <v>4.5367989806912812E-2</v>
      </c>
      <c r="T38" s="283">
        <f t="shared" si="33"/>
        <v>7.7862529751067875</v>
      </c>
      <c r="U38" s="280">
        <f t="shared" si="34"/>
        <v>8.7123340903510051</v>
      </c>
      <c r="V38" s="186">
        <f t="shared" si="15"/>
        <v>2.5865241169416588</v>
      </c>
      <c r="W38" s="187">
        <f t="shared" si="16"/>
        <v>-1.2362529751067868</v>
      </c>
      <c r="X38" s="458">
        <f t="shared" si="17"/>
        <v>-14.451284812064017</v>
      </c>
      <c r="Y38" s="80">
        <f t="shared" si="18"/>
        <v>1.1141524310990836</v>
      </c>
      <c r="Z38" s="83">
        <f t="shared" si="19"/>
        <v>0.88489339342526274</v>
      </c>
      <c r="AA38" s="300">
        <f t="shared" si="48"/>
        <v>0.65558148328737831</v>
      </c>
      <c r="AB38" s="79">
        <f t="shared" si="20"/>
        <v>0.73051854614137302</v>
      </c>
      <c r="AC38" s="80">
        <f t="shared" si="21"/>
        <v>0.57004361509860502</v>
      </c>
      <c r="AD38" s="80">
        <f t="shared" si="22"/>
        <v>0.70553115656391574</v>
      </c>
      <c r="AE38" s="84">
        <f t="shared" si="23"/>
        <v>1.3471777761655586</v>
      </c>
      <c r="AF38" s="84">
        <f t="shared" si="24"/>
        <v>0.8811270860326087</v>
      </c>
      <c r="AG38" s="84">
        <f t="shared" si="25"/>
        <v>1.6457414995319795</v>
      </c>
      <c r="AH38" s="84">
        <f t="shared" si="26"/>
        <v>0.58256336266618769</v>
      </c>
      <c r="AI38" s="84">
        <f t="shared" si="27"/>
        <v>1.4127161544655047</v>
      </c>
      <c r="AJ38" s="84">
        <f t="shared" si="28"/>
        <v>0.81558870773266257</v>
      </c>
      <c r="AK38" s="387">
        <f t="shared" si="46"/>
        <v>1.9726683558247116E-3</v>
      </c>
      <c r="AL38" s="81">
        <f t="shared" si="29"/>
        <v>6.5500000000000007</v>
      </c>
      <c r="AM38" s="194">
        <f t="shared" si="37"/>
        <v>10</v>
      </c>
      <c r="AN38" s="195">
        <f>ROUNDUP(L6,0)</f>
        <v>9</v>
      </c>
      <c r="AO38" s="82">
        <f t="shared" si="38"/>
        <v>0</v>
      </c>
      <c r="AP38" s="354">
        <f t="shared" si="39"/>
        <v>0</v>
      </c>
      <c r="AQ38" s="351">
        <f>IF($A38=$L$3,B_1*Tb_eff/(SQRT(8)*H38),0)</f>
        <v>0</v>
      </c>
      <c r="AR38" s="351">
        <f>IF($A38=$L$3,B_1*Tb_eff*(1-$G$9)/(SQRT(8)*SQRT($H38^2+$AG$8^2)),0)</f>
        <v>0</v>
      </c>
    </row>
    <row r="39" spans="1:49" s="74" customFormat="1" ht="15" customHeight="1" x14ac:dyDescent="0.25">
      <c r="A39" s="86"/>
      <c r="B39" s="86"/>
      <c r="C39" s="86"/>
      <c r="D39" s="69"/>
      <c r="E39" s="86"/>
      <c r="F39" s="86"/>
      <c r="G39" s="86"/>
      <c r="H39" s="69"/>
      <c r="I39" s="69"/>
      <c r="J39" s="107"/>
      <c r="K39" s="69"/>
      <c r="L39" s="69"/>
      <c r="M39" s="69"/>
      <c r="N39" s="86"/>
      <c r="O39" s="69"/>
      <c r="P39" s="69"/>
      <c r="Q39" s="69"/>
      <c r="R39" s="87"/>
      <c r="S39" s="88"/>
      <c r="T39" s="89"/>
      <c r="U39" s="89"/>
      <c r="V39" s="88"/>
      <c r="W39" s="88"/>
      <c r="X39" s="88"/>
      <c r="Y39" s="307"/>
      <c r="Z39" s="308" t="s">
        <v>288</v>
      </c>
      <c r="AA39" s="308"/>
      <c r="AB39" s="308"/>
      <c r="AC39" s="308"/>
      <c r="AD39" s="308"/>
      <c r="AE39" s="309"/>
      <c r="AF39" s="308"/>
      <c r="AG39" s="308"/>
      <c r="AH39" s="308"/>
      <c r="AI39" s="308"/>
      <c r="AJ39" s="308"/>
      <c r="AK39" s="308"/>
      <c r="AL39" s="310" t="s">
        <v>169</v>
      </c>
      <c r="AM39" s="311"/>
      <c r="AO39" s="90">
        <f>SUM(AO18:AO38)</f>
        <v>-4.7446139617171035E-2</v>
      </c>
      <c r="AP39" s="355">
        <f>SUM(AP18:AP38)</f>
        <v>239.95593860121292</v>
      </c>
      <c r="AQ39" s="356">
        <f>SUM(AQ18:AQ38)</f>
        <v>1.4278410645427284</v>
      </c>
      <c r="AR39" s="356">
        <f>SUM(AR18:AR38)</f>
        <v>0.82432061458136918</v>
      </c>
      <c r="AS39" s="5"/>
      <c r="AT39" s="308" t="s">
        <v>287</v>
      </c>
      <c r="AU39" s="5"/>
      <c r="AV39" s="5"/>
      <c r="AW39" s="311" t="s">
        <v>287</v>
      </c>
    </row>
    <row r="40" spans="1:49" s="74" customFormat="1" ht="15" customHeight="1" x14ac:dyDescent="0.25">
      <c r="A40" s="91" t="s">
        <v>101</v>
      </c>
      <c r="B40" s="86"/>
      <c r="C40" s="211" t="s">
        <v>102</v>
      </c>
      <c r="D40" s="69"/>
      <c r="E40" s="86"/>
      <c r="F40" s="86"/>
      <c r="G40" s="86"/>
      <c r="K40" s="106"/>
      <c r="N40" s="86"/>
      <c r="Y40" s="312"/>
      <c r="Z40" s="294" t="s">
        <v>154</v>
      </c>
      <c r="AA40" s="294" t="s">
        <v>167</v>
      </c>
      <c r="AB40" s="294" t="s">
        <v>155</v>
      </c>
      <c r="AC40" s="294" t="s">
        <v>156</v>
      </c>
      <c r="AD40" s="294" t="s">
        <v>157</v>
      </c>
      <c r="AE40" s="294" t="s">
        <v>158</v>
      </c>
      <c r="AF40" s="294" t="s">
        <v>159</v>
      </c>
      <c r="AG40" s="294" t="s">
        <v>161</v>
      </c>
      <c r="AH40" s="294" t="s">
        <v>162</v>
      </c>
      <c r="AI40" s="294" t="s">
        <v>163</v>
      </c>
      <c r="AJ40" s="294" t="s">
        <v>164</v>
      </c>
      <c r="AK40" s="294" t="s">
        <v>165</v>
      </c>
      <c r="AL40" s="294" t="s">
        <v>170</v>
      </c>
      <c r="AM40" s="313" t="s">
        <v>171</v>
      </c>
      <c r="AN40" s="308" t="s">
        <v>154</v>
      </c>
      <c r="AO40" s="308" t="s">
        <v>168</v>
      </c>
      <c r="AP40" s="121"/>
      <c r="AQ40" s="7"/>
      <c r="AR40" s="294" t="s">
        <v>157</v>
      </c>
      <c r="AS40" s="294" t="s">
        <v>158</v>
      </c>
      <c r="AT40" s="294" t="s">
        <v>159</v>
      </c>
      <c r="AU40" s="294" t="s">
        <v>161</v>
      </c>
      <c r="AV40" s="294" t="s">
        <v>162</v>
      </c>
      <c r="AW40" s="313" t="s">
        <v>163</v>
      </c>
    </row>
    <row r="41" spans="1:49" s="74" customFormat="1" ht="15" customHeight="1" x14ac:dyDescent="0.25">
      <c r="A41" s="86" t="s">
        <v>103</v>
      </c>
      <c r="B41" s="86"/>
      <c r="C41" s="86"/>
      <c r="D41" s="69"/>
      <c r="E41" s="86"/>
      <c r="F41" s="86"/>
      <c r="G41" s="86"/>
      <c r="L41" s="106"/>
      <c r="M41" s="69"/>
      <c r="N41" s="86"/>
      <c r="O41" s="69"/>
      <c r="P41" s="69"/>
      <c r="Q41" s="69"/>
      <c r="R41" s="87"/>
      <c r="S41" s="69"/>
      <c r="T41" s="89"/>
      <c r="U41" s="89"/>
      <c r="V41" s="69"/>
      <c r="Y41" s="314" t="s">
        <v>160</v>
      </c>
      <c r="Z41" s="294">
        <v>-0.25</v>
      </c>
      <c r="AA41" s="294">
        <f t="shared" ref="AA41:AA69" si="50">0.5+(-0.5+Z41)*$Y$44</f>
        <v>-0.28431372549019618</v>
      </c>
      <c r="AB41" s="294">
        <f t="shared" ref="AB41:AB69" si="51">MAX(MIN(B_1*Tb_eff*($AA41)/(SQRT(2)*$AG$9),10),-10)</f>
        <v>-0.68563961817365393</v>
      </c>
      <c r="AC41" s="294">
        <f t="shared" ref="AC41:AC69" si="52">MAX(MIN(B_1*Tb_eff*(1-$AA41)/(SQRT(2)*$AG$9),10),-10)</f>
        <v>3.0971996545085738</v>
      </c>
      <c r="AD41" s="315">
        <f t="shared" ref="AD41:AD69" si="53">(ERF(AB41)+1)/2</f>
        <v>0.1661127725338864</v>
      </c>
      <c r="AE41" s="315">
        <f t="shared" ref="AE41:AE69" si="54">(ERF(AC41)+1)/2</f>
        <v>0.99999406880492026</v>
      </c>
      <c r="AF41" s="316">
        <f t="shared" ref="AF41:AF69" si="55">AD41+AE41-1</f>
        <v>0.16610684133880671</v>
      </c>
      <c r="AG41" s="316">
        <f t="shared" ref="AG41:AG69" si="56">1-AD41</f>
        <v>0.83388722746611355</v>
      </c>
      <c r="AH41" s="316">
        <f t="shared" ref="AH41:AH69" si="57">1-AE41</f>
        <v>5.9311950797447111E-6</v>
      </c>
      <c r="AI41" s="316">
        <f t="shared" ref="AI41:AI69" si="58">1-AF41</f>
        <v>0.83389315866119329</v>
      </c>
      <c r="AJ41" s="294">
        <f t="shared" ref="AJ41:AJ69" si="59">Z41-1</f>
        <v>-1.25</v>
      </c>
      <c r="AK41" s="294">
        <f t="shared" ref="AK41:AK69" si="60">Z41+1</f>
        <v>0.75</v>
      </c>
      <c r="AL41" s="294">
        <f t="shared" ref="AL41:AL69" si="61">$Z41-$G$9/(2*$Y$44)</f>
        <v>-0.37812499999999999</v>
      </c>
      <c r="AM41" s="313">
        <f t="shared" ref="AM41:AM69" si="62">$Z41+$G$9/(2*$Y$44)</f>
        <v>-0.12187500000000001</v>
      </c>
      <c r="AN41" s="294">
        <f>$C$12</f>
        <v>0.3</v>
      </c>
      <c r="AO41" s="296">
        <v>0.5</v>
      </c>
      <c r="AP41" s="314">
        <f t="shared" ref="AP41:AP69" si="63">MAX(MIN(B_1*Tb_eff*($AA41)/(SQRT(2)*$AP$39),10),-10)</f>
        <v>-0.65708470519579221</v>
      </c>
      <c r="AQ41" s="294">
        <f t="shared" ref="AQ41:AQ69" si="64">MAX(MIN(B_1*Tb_eff*(1-$AA41)/(SQRT(2)*$AP$39),10),-10)</f>
        <v>2.968210220022371</v>
      </c>
      <c r="AR41" s="315">
        <f t="shared" ref="AR41:AR69" si="65">(ERF(AP41)+1)/2</f>
        <v>0.17637767153472372</v>
      </c>
      <c r="AS41" s="315">
        <f t="shared" ref="AS41:AS69" si="66">(ERF(AQ41)+1)/2</f>
        <v>0.99998651702222063</v>
      </c>
      <c r="AT41" s="316">
        <f t="shared" ref="AT41:AT69" si="67">AR41+AS41-1</f>
        <v>0.17636418855694425</v>
      </c>
      <c r="AU41" s="316">
        <f t="shared" ref="AU41:AW69" si="68">1-AR41</f>
        <v>0.82362232846527628</v>
      </c>
      <c r="AV41" s="316">
        <f t="shared" si="68"/>
        <v>1.3482977779366578E-5</v>
      </c>
      <c r="AW41" s="338">
        <f t="shared" si="68"/>
        <v>0.82363581144305575</v>
      </c>
    </row>
    <row r="42" spans="1:49" s="74" customFormat="1" ht="15" customHeight="1" x14ac:dyDescent="0.25">
      <c r="A42" s="69"/>
      <c r="B42" s="92"/>
      <c r="C42" s="93"/>
      <c r="D42" s="93"/>
      <c r="E42" s="93"/>
      <c r="F42" s="86"/>
      <c r="G42" s="86"/>
      <c r="H42" s="93"/>
      <c r="I42" s="93"/>
      <c r="J42" s="93"/>
      <c r="K42" s="93"/>
      <c r="L42" s="93"/>
      <c r="M42" s="93"/>
      <c r="N42" s="86"/>
      <c r="O42" s="69"/>
      <c r="P42" s="69"/>
      <c r="Q42" s="69"/>
      <c r="R42" s="87"/>
      <c r="S42" s="69"/>
      <c r="T42" s="89"/>
      <c r="U42" s="89"/>
      <c r="V42" s="69"/>
      <c r="Y42" s="314">
        <v>0.05</v>
      </c>
      <c r="Z42" s="294">
        <f t="shared" ref="Z42:Z69" si="69">Z41+$Y$42</f>
        <v>-0.2</v>
      </c>
      <c r="AA42" s="294">
        <f t="shared" si="50"/>
        <v>-0.23202614379084963</v>
      </c>
      <c r="AB42" s="294">
        <f t="shared" si="51"/>
        <v>-0.55954497575091267</v>
      </c>
      <c r="AC42" s="294">
        <f t="shared" si="52"/>
        <v>2.9711050120858329</v>
      </c>
      <c r="AD42" s="315">
        <f t="shared" si="53"/>
        <v>0.21437977972260747</v>
      </c>
      <c r="AE42" s="315">
        <f t="shared" si="54"/>
        <v>0.99998675860306085</v>
      </c>
      <c r="AF42" s="316">
        <f t="shared" si="55"/>
        <v>0.21436653832566832</v>
      </c>
      <c r="AG42" s="316">
        <f t="shared" si="56"/>
        <v>0.78562022027739253</v>
      </c>
      <c r="AH42" s="316">
        <f t="shared" si="57"/>
        <v>1.3241396939145389E-5</v>
      </c>
      <c r="AI42" s="316">
        <f t="shared" si="58"/>
        <v>0.78563346167433168</v>
      </c>
      <c r="AJ42" s="294">
        <f t="shared" si="59"/>
        <v>-1.2</v>
      </c>
      <c r="AK42" s="294">
        <f t="shared" si="60"/>
        <v>0.8</v>
      </c>
      <c r="AL42" s="294">
        <f t="shared" si="61"/>
        <v>-0.328125</v>
      </c>
      <c r="AM42" s="313">
        <f t="shared" si="62"/>
        <v>-7.1875000000000022E-2</v>
      </c>
      <c r="AN42" s="294">
        <f>$C$13</f>
        <v>0.4</v>
      </c>
      <c r="AO42" s="296">
        <f>$C$14</f>
        <v>0.25</v>
      </c>
      <c r="AP42" s="314">
        <f t="shared" si="63"/>
        <v>-0.53624154102185306</v>
      </c>
      <c r="AQ42" s="294">
        <f t="shared" si="64"/>
        <v>2.8473670558484319</v>
      </c>
      <c r="AR42" s="315">
        <f t="shared" si="65"/>
        <v>0.22411773059108708</v>
      </c>
      <c r="AS42" s="315">
        <f t="shared" si="66"/>
        <v>0.99997172766698028</v>
      </c>
      <c r="AT42" s="316">
        <f t="shared" si="67"/>
        <v>0.22408945825806725</v>
      </c>
      <c r="AU42" s="316">
        <f t="shared" si="68"/>
        <v>0.77588226940891292</v>
      </c>
      <c r="AV42" s="316">
        <f t="shared" si="68"/>
        <v>2.8272333019718765E-5</v>
      </c>
      <c r="AW42" s="338">
        <f t="shared" si="68"/>
        <v>0.77591054174193275</v>
      </c>
    </row>
    <row r="43" spans="1:49" s="74" customFormat="1" ht="15" customHeight="1" x14ac:dyDescent="0.25">
      <c r="A43" s="86"/>
      <c r="B43" s="93" t="s">
        <v>172</v>
      </c>
      <c r="C43" s="86"/>
      <c r="D43" s="69"/>
      <c r="E43" s="86"/>
      <c r="F43" s="86"/>
      <c r="G43" s="86"/>
      <c r="H43" s="69"/>
      <c r="I43" s="69"/>
      <c r="J43" s="69"/>
      <c r="K43" s="69"/>
      <c r="L43" s="69"/>
      <c r="M43" s="69"/>
      <c r="N43" s="86"/>
      <c r="O43" s="69"/>
      <c r="P43" s="69"/>
      <c r="Q43" s="69"/>
      <c r="R43" s="87"/>
      <c r="S43" s="69"/>
      <c r="T43" s="89"/>
      <c r="U43" s="89"/>
      <c r="V43" s="69"/>
      <c r="Y43" s="314" t="s">
        <v>166</v>
      </c>
      <c r="Z43" s="294">
        <f t="shared" si="69"/>
        <v>-0.15000000000000002</v>
      </c>
      <c r="AA43" s="294">
        <f t="shared" si="50"/>
        <v>-0.1797385620915033</v>
      </c>
      <c r="AB43" s="294">
        <f t="shared" si="51"/>
        <v>-0.43345033332817196</v>
      </c>
      <c r="AC43" s="294">
        <f t="shared" si="52"/>
        <v>2.845010369663092</v>
      </c>
      <c r="AD43" s="315">
        <f t="shared" si="53"/>
        <v>0.26994103292783056</v>
      </c>
      <c r="AE43" s="315">
        <f t="shared" si="54"/>
        <v>0.99997132439188985</v>
      </c>
      <c r="AF43" s="316">
        <f t="shared" si="55"/>
        <v>0.26991235731972041</v>
      </c>
      <c r="AG43" s="316">
        <f t="shared" si="56"/>
        <v>0.73005896707216944</v>
      </c>
      <c r="AH43" s="316">
        <f t="shared" si="57"/>
        <v>2.8675608110151352E-5</v>
      </c>
      <c r="AI43" s="316">
        <f t="shared" si="58"/>
        <v>0.73008764268027959</v>
      </c>
      <c r="AJ43" s="294">
        <f t="shared" si="59"/>
        <v>-1.1499999999999999</v>
      </c>
      <c r="AK43" s="294">
        <f t="shared" si="60"/>
        <v>0.85</v>
      </c>
      <c r="AL43" s="294">
        <f t="shared" si="61"/>
        <v>-0.27812500000000001</v>
      </c>
      <c r="AM43" s="313">
        <f t="shared" si="62"/>
        <v>-2.1875000000000033E-2</v>
      </c>
      <c r="AN43" s="294">
        <f>1-AN42</f>
        <v>0.6</v>
      </c>
      <c r="AO43" s="296">
        <f>$C$14</f>
        <v>0.25</v>
      </c>
      <c r="AP43" s="314">
        <f t="shared" si="63"/>
        <v>-0.41539837684791453</v>
      </c>
      <c r="AQ43" s="294">
        <f t="shared" si="64"/>
        <v>2.7265238916744932</v>
      </c>
      <c r="AR43" s="315">
        <f t="shared" si="65"/>
        <v>0.27844672608593068</v>
      </c>
      <c r="AS43" s="315">
        <f t="shared" si="66"/>
        <v>0.99994234464145615</v>
      </c>
      <c r="AT43" s="316">
        <f t="shared" si="67"/>
        <v>0.27838907072738683</v>
      </c>
      <c r="AU43" s="316">
        <f t="shared" si="68"/>
        <v>0.72155327391406932</v>
      </c>
      <c r="AV43" s="316">
        <f t="shared" si="68"/>
        <v>5.7655358543851065E-5</v>
      </c>
      <c r="AW43" s="338">
        <f t="shared" si="68"/>
        <v>0.72161092927261317</v>
      </c>
    </row>
    <row r="44" spans="1:49" s="74" customFormat="1" ht="15" customHeight="1" x14ac:dyDescent="0.25">
      <c r="A44" s="86"/>
      <c r="B44" s="93" t="s">
        <v>292</v>
      </c>
      <c r="C44" s="86"/>
      <c r="D44" s="69"/>
      <c r="E44" s="86"/>
      <c r="F44" s="86"/>
      <c r="G44" s="86"/>
      <c r="H44" s="69"/>
      <c r="I44" s="69"/>
      <c r="J44" s="69"/>
      <c r="K44" s="69"/>
      <c r="L44" s="69"/>
      <c r="M44" s="69"/>
      <c r="N44" s="86"/>
      <c r="O44" s="69"/>
      <c r="P44" s="69"/>
      <c r="Q44" s="69"/>
      <c r="R44" s="87"/>
      <c r="S44" s="69"/>
      <c r="T44" s="89"/>
      <c r="U44" s="89"/>
      <c r="V44" s="69"/>
      <c r="Y44" s="314">
        <f>$L$11/$C$4</f>
        <v>1.0457516339869282</v>
      </c>
      <c r="Z44" s="294">
        <f t="shared" si="69"/>
        <v>-0.10000000000000002</v>
      </c>
      <c r="AA44" s="294">
        <f t="shared" si="50"/>
        <v>-0.12745098039215685</v>
      </c>
      <c r="AB44" s="294">
        <f t="shared" si="51"/>
        <v>-0.30735569090543097</v>
      </c>
      <c r="AC44" s="294">
        <f t="shared" si="52"/>
        <v>2.718915727240351</v>
      </c>
      <c r="AD44" s="315">
        <f t="shared" si="53"/>
        <v>0.33190222754156196</v>
      </c>
      <c r="AE44" s="315">
        <f t="shared" si="54"/>
        <v>0.99993975511297251</v>
      </c>
      <c r="AF44" s="316">
        <f t="shared" si="55"/>
        <v>0.33184198265453446</v>
      </c>
      <c r="AG44" s="316">
        <f t="shared" si="56"/>
        <v>0.66809777245843804</v>
      </c>
      <c r="AH44" s="316">
        <f t="shared" si="57"/>
        <v>6.0244887027494087E-5</v>
      </c>
      <c r="AI44" s="316">
        <f t="shared" si="58"/>
        <v>0.66815801734546554</v>
      </c>
      <c r="AJ44" s="294">
        <f t="shared" si="59"/>
        <v>-1.1000000000000001</v>
      </c>
      <c r="AK44" s="294">
        <f t="shared" si="60"/>
        <v>0.9</v>
      </c>
      <c r="AL44" s="294">
        <f t="shared" si="61"/>
        <v>-0.22812500000000002</v>
      </c>
      <c r="AM44" s="313">
        <f t="shared" si="62"/>
        <v>2.8124999999999969E-2</v>
      </c>
      <c r="AN44" s="294">
        <f>1-AN41</f>
        <v>0.7</v>
      </c>
      <c r="AO44" s="296">
        <v>0.5</v>
      </c>
      <c r="AP44" s="314">
        <f t="shared" si="63"/>
        <v>-0.29455521267397566</v>
      </c>
      <c r="AQ44" s="294">
        <f t="shared" si="64"/>
        <v>2.6056807275005545</v>
      </c>
      <c r="AR44" s="315">
        <f t="shared" si="65"/>
        <v>0.33849868149147944</v>
      </c>
      <c r="AS44" s="315">
        <f t="shared" si="66"/>
        <v>0.9998856437518181</v>
      </c>
      <c r="AT44" s="316">
        <f t="shared" si="67"/>
        <v>0.33838432524329765</v>
      </c>
      <c r="AU44" s="316">
        <f t="shared" si="68"/>
        <v>0.66150131850852056</v>
      </c>
      <c r="AV44" s="316">
        <f t="shared" si="68"/>
        <v>1.143562481819016E-4</v>
      </c>
      <c r="AW44" s="338">
        <f t="shared" si="68"/>
        <v>0.66161567475670235</v>
      </c>
    </row>
    <row r="45" spans="1:49" s="74" customFormat="1" ht="15" customHeight="1" x14ac:dyDescent="0.25">
      <c r="A45" s="86"/>
      <c r="B45" s="86"/>
      <c r="C45" s="86"/>
      <c r="D45" s="69"/>
      <c r="E45" s="86"/>
      <c r="G45" s="86"/>
      <c r="H45" s="69"/>
      <c r="I45" s="69"/>
      <c r="J45" s="69"/>
      <c r="K45" s="69"/>
      <c r="L45" s="69"/>
      <c r="M45" s="69"/>
      <c r="N45" s="86"/>
      <c r="O45" s="69"/>
      <c r="P45" s="69"/>
      <c r="Q45" s="69"/>
      <c r="R45" s="87"/>
      <c r="S45" s="69"/>
      <c r="T45" s="89"/>
      <c r="U45" s="89"/>
      <c r="V45" s="69"/>
      <c r="Y45" s="314"/>
      <c r="Z45" s="294">
        <f t="shared" si="69"/>
        <v>-5.0000000000000017E-2</v>
      </c>
      <c r="AA45" s="294">
        <f t="shared" si="50"/>
        <v>-7.5163398692810524E-2</v>
      </c>
      <c r="AB45" s="294">
        <f t="shared" si="51"/>
        <v>-0.18126104848269023</v>
      </c>
      <c r="AC45" s="294">
        <f t="shared" si="52"/>
        <v>2.5928210848176105</v>
      </c>
      <c r="AD45" s="315">
        <f t="shared" si="53"/>
        <v>0.39884344896647828</v>
      </c>
      <c r="AE45" s="315">
        <f t="shared" si="54"/>
        <v>0.99987719894718152</v>
      </c>
      <c r="AF45" s="316">
        <f t="shared" si="55"/>
        <v>0.3987206479136598</v>
      </c>
      <c r="AG45" s="316">
        <f t="shared" si="56"/>
        <v>0.60115655103352172</v>
      </c>
      <c r="AH45" s="316">
        <f t="shared" si="57"/>
        <v>1.2280105281847753E-4</v>
      </c>
      <c r="AI45" s="316">
        <f t="shared" si="58"/>
        <v>0.6012793520863402</v>
      </c>
      <c r="AJ45" s="294">
        <f t="shared" si="59"/>
        <v>-1.05</v>
      </c>
      <c r="AK45" s="294">
        <f t="shared" si="60"/>
        <v>0.95</v>
      </c>
      <c r="AL45" s="294">
        <f t="shared" si="61"/>
        <v>-0.17812500000000001</v>
      </c>
      <c r="AM45" s="313">
        <f t="shared" si="62"/>
        <v>7.8124999999999972E-2</v>
      </c>
      <c r="AN45" s="294">
        <f>AN43</f>
        <v>0.6</v>
      </c>
      <c r="AO45" s="296">
        <f>1-$C$14</f>
        <v>0.75</v>
      </c>
      <c r="AP45" s="314">
        <f t="shared" si="63"/>
        <v>-0.1737120485000371</v>
      </c>
      <c r="AQ45" s="294">
        <f t="shared" si="64"/>
        <v>2.4848375633266162</v>
      </c>
      <c r="AR45" s="315">
        <f t="shared" si="65"/>
        <v>0.40297042207307243</v>
      </c>
      <c r="AS45" s="315">
        <f t="shared" si="66"/>
        <v>0.99977936917604326</v>
      </c>
      <c r="AT45" s="316">
        <f t="shared" si="67"/>
        <v>0.40274979124911559</v>
      </c>
      <c r="AU45" s="316">
        <f t="shared" si="68"/>
        <v>0.59702957792692757</v>
      </c>
      <c r="AV45" s="316">
        <f t="shared" si="68"/>
        <v>2.2063082395673561E-4</v>
      </c>
      <c r="AW45" s="338">
        <f t="shared" si="68"/>
        <v>0.59725020875088441</v>
      </c>
    </row>
    <row r="46" spans="1:49" s="74" customFormat="1" ht="15" customHeight="1" x14ac:dyDescent="0.25">
      <c r="A46" s="86"/>
      <c r="D46" s="69"/>
      <c r="E46" s="86"/>
      <c r="F46" s="86"/>
      <c r="G46" s="86"/>
      <c r="H46" s="69"/>
      <c r="I46" s="69"/>
      <c r="J46" s="69"/>
      <c r="K46" s="69"/>
      <c r="L46" s="69"/>
      <c r="M46" s="69"/>
      <c r="N46" s="86"/>
      <c r="O46" s="69"/>
      <c r="P46" s="69"/>
      <c r="Q46" s="69"/>
      <c r="R46" s="87"/>
      <c r="S46" s="69"/>
      <c r="T46" s="89"/>
      <c r="U46" s="89"/>
      <c r="V46" s="69"/>
      <c r="Y46" s="314"/>
      <c r="Z46" s="294">
        <f t="shared" si="69"/>
        <v>0</v>
      </c>
      <c r="AA46" s="294">
        <f t="shared" si="50"/>
        <v>-2.2875816993464082E-2</v>
      </c>
      <c r="AB46" s="294">
        <f t="shared" si="51"/>
        <v>-5.516640605994922E-2</v>
      </c>
      <c r="AC46" s="294">
        <f t="shared" si="52"/>
        <v>2.4667264423948687</v>
      </c>
      <c r="AD46" s="315">
        <f t="shared" si="53"/>
        <v>0.46890723340807611</v>
      </c>
      <c r="AE46" s="315">
        <f t="shared" si="54"/>
        <v>0.99975711059265837</v>
      </c>
      <c r="AF46" s="316">
        <f t="shared" si="55"/>
        <v>0.46866434400073453</v>
      </c>
      <c r="AG46" s="316">
        <f t="shared" si="56"/>
        <v>0.53109276659192384</v>
      </c>
      <c r="AH46" s="316">
        <f t="shared" si="57"/>
        <v>2.4288940734162878E-4</v>
      </c>
      <c r="AI46" s="316">
        <f t="shared" si="58"/>
        <v>0.53133565599926547</v>
      </c>
      <c r="AJ46" s="294">
        <f t="shared" si="59"/>
        <v>-1</v>
      </c>
      <c r="AK46" s="294">
        <f t="shared" si="60"/>
        <v>1</v>
      </c>
      <c r="AL46" s="294">
        <f t="shared" si="61"/>
        <v>-0.12812499999999999</v>
      </c>
      <c r="AM46" s="313">
        <f t="shared" si="62"/>
        <v>0.12812499999999999</v>
      </c>
      <c r="AN46" s="294">
        <f>AN42</f>
        <v>0.4</v>
      </c>
      <c r="AO46" s="296">
        <f>AO45</f>
        <v>0.75</v>
      </c>
      <c r="AP46" s="314">
        <f t="shared" si="63"/>
        <v>-5.2868884326098271E-2</v>
      </c>
      <c r="AQ46" s="294">
        <f t="shared" si="64"/>
        <v>2.3639943991526766</v>
      </c>
      <c r="AR46" s="315">
        <f t="shared" si="65"/>
        <v>0.47019969388577748</v>
      </c>
      <c r="AS46" s="315">
        <f t="shared" si="66"/>
        <v>0.9995858985271564</v>
      </c>
      <c r="AT46" s="316">
        <f t="shared" si="67"/>
        <v>0.46978559241293394</v>
      </c>
      <c r="AU46" s="316">
        <f t="shared" si="68"/>
        <v>0.52980030611422246</v>
      </c>
      <c r="AV46" s="316">
        <f t="shared" si="68"/>
        <v>4.1410147284359766E-4</v>
      </c>
      <c r="AW46" s="338">
        <f t="shared" si="68"/>
        <v>0.53021440758706606</v>
      </c>
    </row>
    <row r="47" spans="1:49" s="74" customFormat="1" ht="15" customHeight="1" x14ac:dyDescent="0.25">
      <c r="A47" s="94"/>
      <c r="B47" s="86"/>
      <c r="D47" s="95"/>
      <c r="E47" s="86"/>
      <c r="F47" s="86"/>
      <c r="G47" s="94"/>
      <c r="H47" s="69"/>
      <c r="I47" s="69"/>
      <c r="J47" s="69"/>
      <c r="K47" s="69"/>
      <c r="L47" s="69"/>
      <c r="M47" s="69"/>
      <c r="N47" s="86"/>
      <c r="O47" s="69"/>
      <c r="P47" s="69"/>
      <c r="Q47" s="69"/>
      <c r="R47" s="87"/>
      <c r="S47" s="69"/>
      <c r="T47" s="89"/>
      <c r="U47" s="89"/>
      <c r="V47" s="69"/>
      <c r="X47" s="96"/>
      <c r="Y47" s="317"/>
      <c r="Z47" s="294">
        <f t="shared" si="69"/>
        <v>0.05</v>
      </c>
      <c r="AA47" s="294">
        <f t="shared" si="50"/>
        <v>2.9411764705882304E-2</v>
      </c>
      <c r="AB47" s="294">
        <f t="shared" si="51"/>
        <v>7.0928236362791636E-2</v>
      </c>
      <c r="AC47" s="294">
        <f t="shared" si="52"/>
        <v>2.3406317999721287</v>
      </c>
      <c r="AD47" s="315">
        <f t="shared" si="53"/>
        <v>0.53994996730271028</v>
      </c>
      <c r="AE47" s="315">
        <f t="shared" si="54"/>
        <v>0.99953377545750421</v>
      </c>
      <c r="AF47" s="316">
        <f t="shared" si="55"/>
        <v>0.53948374276021438</v>
      </c>
      <c r="AG47" s="316">
        <f t="shared" si="56"/>
        <v>0.46005003269728972</v>
      </c>
      <c r="AH47" s="316">
        <f t="shared" si="57"/>
        <v>4.662245424957856E-4</v>
      </c>
      <c r="AI47" s="316">
        <f t="shared" si="58"/>
        <v>0.46051625723978562</v>
      </c>
      <c r="AJ47" s="294">
        <f t="shared" si="59"/>
        <v>-0.95</v>
      </c>
      <c r="AK47" s="294">
        <f t="shared" si="60"/>
        <v>1.05</v>
      </c>
      <c r="AL47" s="294">
        <f t="shared" si="61"/>
        <v>-7.8124999999999986E-2</v>
      </c>
      <c r="AM47" s="313">
        <f t="shared" si="62"/>
        <v>0.17812499999999998</v>
      </c>
      <c r="AN47" s="319">
        <f>AN41</f>
        <v>0.3</v>
      </c>
      <c r="AO47" s="337">
        <v>0.5</v>
      </c>
      <c r="AP47" s="314">
        <f t="shared" si="63"/>
        <v>6.7974279847840435E-2</v>
      </c>
      <c r="AQ47" s="294">
        <f t="shared" si="64"/>
        <v>2.2431512349787384</v>
      </c>
      <c r="AR47" s="315">
        <f t="shared" si="65"/>
        <v>0.53829139641102641</v>
      </c>
      <c r="AS47" s="315">
        <f t="shared" si="66"/>
        <v>0.9992438032723242</v>
      </c>
      <c r="AT47" s="316">
        <f t="shared" si="67"/>
        <v>0.53753519968335062</v>
      </c>
      <c r="AU47" s="316">
        <f t="shared" si="68"/>
        <v>0.46170860358897359</v>
      </c>
      <c r="AV47" s="316">
        <f t="shared" si="68"/>
        <v>7.5619672767579527E-4</v>
      </c>
      <c r="AW47" s="338">
        <f t="shared" si="68"/>
        <v>0.46246480031664938</v>
      </c>
    </row>
    <row r="48" spans="1:49" s="74" customFormat="1" ht="15" customHeight="1" x14ac:dyDescent="0.25">
      <c r="A48" s="94"/>
      <c r="B48" s="86"/>
      <c r="D48" s="95"/>
      <c r="E48" s="86"/>
      <c r="F48" s="86"/>
      <c r="G48" s="94"/>
      <c r="H48" s="69"/>
      <c r="I48" s="69"/>
      <c r="J48" s="69"/>
      <c r="K48" s="69"/>
      <c r="L48" s="69"/>
      <c r="M48" s="69"/>
      <c r="N48" s="86"/>
      <c r="O48" s="69"/>
      <c r="P48" s="69"/>
      <c r="Q48" s="69"/>
      <c r="R48" s="87"/>
      <c r="S48" s="69"/>
      <c r="T48" s="89"/>
      <c r="U48" s="89"/>
      <c r="V48" s="69"/>
      <c r="X48" s="96"/>
      <c r="Y48" s="317"/>
      <c r="Z48" s="294">
        <f t="shared" si="69"/>
        <v>0.1</v>
      </c>
      <c r="AA48" s="294">
        <f t="shared" si="50"/>
        <v>8.169934640522869E-2</v>
      </c>
      <c r="AB48" s="294">
        <f t="shared" si="51"/>
        <v>0.19702287878553251</v>
      </c>
      <c r="AC48" s="294">
        <f t="shared" si="52"/>
        <v>2.2145371575493873</v>
      </c>
      <c r="AD48" s="315">
        <f t="shared" si="53"/>
        <v>0.60973653776292536</v>
      </c>
      <c r="AE48" s="315">
        <f t="shared" si="54"/>
        <v>0.99913139334610912</v>
      </c>
      <c r="AF48" s="316">
        <f t="shared" si="55"/>
        <v>0.60886793110903437</v>
      </c>
      <c r="AG48" s="316">
        <f t="shared" si="56"/>
        <v>0.39026346223707464</v>
      </c>
      <c r="AH48" s="316">
        <f t="shared" si="57"/>
        <v>8.6860665389087988E-4</v>
      </c>
      <c r="AI48" s="316">
        <f t="shared" si="58"/>
        <v>0.39113206889096563</v>
      </c>
      <c r="AJ48" s="294">
        <f t="shared" si="59"/>
        <v>-0.9</v>
      </c>
      <c r="AK48" s="294">
        <f t="shared" si="60"/>
        <v>1.1000000000000001</v>
      </c>
      <c r="AL48" s="294">
        <f t="shared" si="61"/>
        <v>-2.8124999999999983E-2</v>
      </c>
      <c r="AM48" s="313">
        <f t="shared" si="62"/>
        <v>0.22812499999999999</v>
      </c>
      <c r="AP48" s="314">
        <f t="shared" si="63"/>
        <v>0.18881744402177913</v>
      </c>
      <c r="AQ48" s="294">
        <f t="shared" si="64"/>
        <v>2.1223080708047997</v>
      </c>
      <c r="AR48" s="315">
        <f t="shared" si="65"/>
        <v>0.60527627184953881</v>
      </c>
      <c r="AS48" s="315">
        <f t="shared" si="66"/>
        <v>0.99865627967291726</v>
      </c>
      <c r="AT48" s="316">
        <f t="shared" si="67"/>
        <v>0.60393255152245606</v>
      </c>
      <c r="AU48" s="316">
        <f t="shared" si="68"/>
        <v>0.39472372815046119</v>
      </c>
      <c r="AV48" s="316">
        <f t="shared" si="68"/>
        <v>1.3437203270827425E-3</v>
      </c>
      <c r="AW48" s="338">
        <f t="shared" si="68"/>
        <v>0.39606744847754394</v>
      </c>
    </row>
    <row r="49" spans="1:49" s="74" customFormat="1" ht="15" customHeight="1" x14ac:dyDescent="0.25">
      <c r="A49" s="94"/>
      <c r="B49" s="86"/>
      <c r="D49" s="95"/>
      <c r="E49" s="86"/>
      <c r="F49" s="86"/>
      <c r="G49" s="94"/>
      <c r="H49" s="69"/>
      <c r="I49" s="69"/>
      <c r="J49" s="69"/>
      <c r="K49" s="69"/>
      <c r="L49" s="69"/>
      <c r="M49" s="69"/>
      <c r="N49" s="86"/>
      <c r="O49" s="69"/>
      <c r="P49" s="69"/>
      <c r="Q49" s="69"/>
      <c r="R49" s="87"/>
      <c r="S49" s="69"/>
      <c r="T49" s="89"/>
      <c r="U49" s="89"/>
      <c r="V49" s="69"/>
      <c r="X49" s="96"/>
      <c r="Y49" s="317"/>
      <c r="Z49" s="294">
        <f t="shared" si="69"/>
        <v>0.15000000000000002</v>
      </c>
      <c r="AA49" s="294">
        <f t="shared" si="50"/>
        <v>0.13398692810457519</v>
      </c>
      <c r="AB49" s="294">
        <f t="shared" si="51"/>
        <v>0.32311752120827364</v>
      </c>
      <c r="AC49" s="294">
        <f t="shared" si="52"/>
        <v>2.0884425151266464</v>
      </c>
      <c r="AD49" s="315">
        <f t="shared" si="53"/>
        <v>0.67614908852632849</v>
      </c>
      <c r="AE49" s="315">
        <f t="shared" si="54"/>
        <v>0.99842905593764653</v>
      </c>
      <c r="AF49" s="316">
        <f t="shared" si="55"/>
        <v>0.6745781444639749</v>
      </c>
      <c r="AG49" s="316">
        <f t="shared" si="56"/>
        <v>0.32385091147367151</v>
      </c>
      <c r="AH49" s="316">
        <f t="shared" si="57"/>
        <v>1.5709440623534743E-3</v>
      </c>
      <c r="AI49" s="316">
        <f t="shared" si="58"/>
        <v>0.3254218555360251</v>
      </c>
      <c r="AJ49" s="294">
        <f t="shared" si="59"/>
        <v>-0.85</v>
      </c>
      <c r="AK49" s="294">
        <f t="shared" si="60"/>
        <v>1.1499999999999999</v>
      </c>
      <c r="AL49" s="294">
        <f t="shared" si="61"/>
        <v>2.1875000000000033E-2</v>
      </c>
      <c r="AM49" s="313">
        <f t="shared" si="62"/>
        <v>0.27812500000000001</v>
      </c>
      <c r="AP49" s="314">
        <f t="shared" si="63"/>
        <v>0.30966060819571811</v>
      </c>
      <c r="AQ49" s="294">
        <f t="shared" si="64"/>
        <v>2.0014649066308605</v>
      </c>
      <c r="AR49" s="315">
        <f t="shared" si="65"/>
        <v>0.66928012036557671</v>
      </c>
      <c r="AS49" s="315">
        <f t="shared" si="66"/>
        <v>0.99767622583679005</v>
      </c>
      <c r="AT49" s="316">
        <f t="shared" si="67"/>
        <v>0.66695634620236666</v>
      </c>
      <c r="AU49" s="316">
        <f t="shared" si="68"/>
        <v>0.33071987963442329</v>
      </c>
      <c r="AV49" s="316">
        <f t="shared" si="68"/>
        <v>2.3237741632099462E-3</v>
      </c>
      <c r="AW49" s="338">
        <f t="shared" si="68"/>
        <v>0.33304365379763334</v>
      </c>
    </row>
    <row r="50" spans="1:49" s="74" customFormat="1" ht="15" customHeight="1" x14ac:dyDescent="0.25">
      <c r="A50" s="94"/>
      <c r="B50" s="86"/>
      <c r="C50" s="86"/>
      <c r="D50" s="95"/>
      <c r="E50" s="86"/>
      <c r="F50" s="86"/>
      <c r="G50" s="94"/>
      <c r="H50" s="69"/>
      <c r="I50" s="69"/>
      <c r="J50" s="69"/>
      <c r="K50" s="69"/>
      <c r="L50" s="69"/>
      <c r="M50" s="69"/>
      <c r="N50" s="86"/>
      <c r="O50" s="86"/>
      <c r="P50" s="86"/>
      <c r="Q50" s="69"/>
      <c r="R50" s="87"/>
      <c r="S50" s="69"/>
      <c r="T50" s="89"/>
      <c r="U50" s="89"/>
      <c r="V50" s="69"/>
      <c r="X50" s="96"/>
      <c r="Y50" s="317"/>
      <c r="Z50" s="294">
        <f t="shared" si="69"/>
        <v>0.2</v>
      </c>
      <c r="AA50" s="294">
        <f t="shared" si="50"/>
        <v>0.18627450980392157</v>
      </c>
      <c r="AB50" s="294">
        <f t="shared" si="51"/>
        <v>0.44921216363101452</v>
      </c>
      <c r="AC50" s="294">
        <f t="shared" si="52"/>
        <v>1.9623478727039054</v>
      </c>
      <c r="AD50" s="315">
        <f t="shared" si="53"/>
        <v>0.73737772302468174</v>
      </c>
      <c r="AE50" s="315">
        <f t="shared" si="54"/>
        <v>0.99724143315053126</v>
      </c>
      <c r="AF50" s="316">
        <f t="shared" si="55"/>
        <v>0.73461915617521312</v>
      </c>
      <c r="AG50" s="316">
        <f t="shared" si="56"/>
        <v>0.26262227697531826</v>
      </c>
      <c r="AH50" s="316">
        <f t="shared" si="57"/>
        <v>2.7585668494687354E-3</v>
      </c>
      <c r="AI50" s="316">
        <f t="shared" si="58"/>
        <v>0.26538084382478688</v>
      </c>
      <c r="AJ50" s="294">
        <f t="shared" si="59"/>
        <v>-0.8</v>
      </c>
      <c r="AK50" s="294">
        <f t="shared" si="60"/>
        <v>1.2</v>
      </c>
      <c r="AL50" s="294">
        <f t="shared" si="61"/>
        <v>7.1875000000000022E-2</v>
      </c>
      <c r="AM50" s="313">
        <f t="shared" si="62"/>
        <v>0.328125</v>
      </c>
      <c r="AP50" s="314">
        <f t="shared" si="63"/>
        <v>0.43050377236965681</v>
      </c>
      <c r="AQ50" s="294">
        <f t="shared" si="64"/>
        <v>1.8806217424569218</v>
      </c>
      <c r="AR50" s="315">
        <f t="shared" si="65"/>
        <v>0.72867953876533875</v>
      </c>
      <c r="AS50" s="315">
        <f t="shared" si="66"/>
        <v>0.99608833388845741</v>
      </c>
      <c r="AT50" s="316">
        <f t="shared" si="67"/>
        <v>0.72476787265379627</v>
      </c>
      <c r="AU50" s="316">
        <f t="shared" si="68"/>
        <v>0.27132046123466125</v>
      </c>
      <c r="AV50" s="316">
        <f t="shared" si="68"/>
        <v>3.9116661115425888E-3</v>
      </c>
      <c r="AW50" s="338">
        <f t="shared" si="68"/>
        <v>0.27523212734620373</v>
      </c>
    </row>
    <row r="51" spans="1:49" s="74" customFormat="1" ht="15" customHeight="1" x14ac:dyDescent="0.25">
      <c r="A51" s="94"/>
      <c r="B51" s="86"/>
      <c r="C51" s="86"/>
      <c r="D51" s="95"/>
      <c r="E51" s="86"/>
      <c r="F51" s="86"/>
      <c r="G51" s="94"/>
      <c r="H51" s="69"/>
      <c r="I51" s="69"/>
      <c r="J51" s="69"/>
      <c r="K51" s="69"/>
      <c r="L51" s="69"/>
      <c r="M51" s="69"/>
      <c r="N51" s="86"/>
      <c r="O51" s="86"/>
      <c r="P51" s="86"/>
      <c r="Q51" s="86"/>
      <c r="R51" s="212"/>
      <c r="S51" s="69"/>
      <c r="T51" s="89"/>
      <c r="U51" s="89"/>
      <c r="V51" s="69"/>
      <c r="X51" s="96"/>
      <c r="Y51" s="317"/>
      <c r="Z51" s="294">
        <f t="shared" si="69"/>
        <v>0.25</v>
      </c>
      <c r="AA51" s="294">
        <f t="shared" si="50"/>
        <v>0.23856209150326796</v>
      </c>
      <c r="AB51" s="294">
        <f t="shared" si="51"/>
        <v>0.57530680605375539</v>
      </c>
      <c r="AC51" s="294">
        <f t="shared" si="52"/>
        <v>1.8362532302811645</v>
      </c>
      <c r="AD51" s="315">
        <f t="shared" si="53"/>
        <v>0.79206484725923154</v>
      </c>
      <c r="AE51" s="315">
        <f t="shared" si="54"/>
        <v>0.99529590782620847</v>
      </c>
      <c r="AF51" s="316">
        <f t="shared" si="55"/>
        <v>0.78736075508544001</v>
      </c>
      <c r="AG51" s="316">
        <f t="shared" si="56"/>
        <v>0.20793515274076846</v>
      </c>
      <c r="AH51" s="316">
        <f t="shared" si="57"/>
        <v>4.7040921737915298E-3</v>
      </c>
      <c r="AI51" s="316">
        <f t="shared" si="58"/>
        <v>0.21263924491455999</v>
      </c>
      <c r="AJ51" s="294">
        <f t="shared" si="59"/>
        <v>-0.75</v>
      </c>
      <c r="AK51" s="294">
        <f t="shared" si="60"/>
        <v>1.25</v>
      </c>
      <c r="AL51" s="294">
        <f t="shared" si="61"/>
        <v>0.12187500000000001</v>
      </c>
      <c r="AM51" s="313">
        <f t="shared" si="62"/>
        <v>0.37812499999999999</v>
      </c>
      <c r="AP51" s="314">
        <f t="shared" si="63"/>
        <v>0.55134693654359557</v>
      </c>
      <c r="AQ51" s="294">
        <f t="shared" si="64"/>
        <v>1.7597785782829829</v>
      </c>
      <c r="AR51" s="315">
        <f t="shared" si="65"/>
        <v>0.78222282954052758</v>
      </c>
      <c r="AS51" s="315">
        <f t="shared" si="66"/>
        <v>0.99358949417520059</v>
      </c>
      <c r="AT51" s="316">
        <f t="shared" si="67"/>
        <v>0.77581232371572817</v>
      </c>
      <c r="AU51" s="316">
        <f t="shared" si="68"/>
        <v>0.21777717045947242</v>
      </c>
      <c r="AV51" s="316">
        <f t="shared" si="68"/>
        <v>6.4105058247994062E-3</v>
      </c>
      <c r="AW51" s="338">
        <f t="shared" si="68"/>
        <v>0.22418767628427183</v>
      </c>
    </row>
    <row r="52" spans="1:49" s="74" customFormat="1" ht="15" customHeight="1" x14ac:dyDescent="0.25">
      <c r="A52" s="97"/>
      <c r="B52" s="86"/>
      <c r="C52" s="86"/>
      <c r="D52" s="95"/>
      <c r="E52" s="86"/>
      <c r="F52" s="86"/>
      <c r="G52" s="94"/>
      <c r="H52" s="69"/>
      <c r="I52" s="69"/>
      <c r="J52" s="69"/>
      <c r="K52" s="69"/>
      <c r="L52" s="69"/>
      <c r="M52" s="69"/>
      <c r="N52" s="86"/>
      <c r="O52" s="86"/>
      <c r="P52" s="86"/>
      <c r="Q52" s="69"/>
      <c r="R52" s="87"/>
      <c r="S52" s="69"/>
      <c r="T52" s="89"/>
      <c r="U52" s="89"/>
      <c r="V52" s="69"/>
      <c r="X52" s="96"/>
      <c r="Y52" s="317"/>
      <c r="Z52" s="294">
        <f t="shared" si="69"/>
        <v>0.3</v>
      </c>
      <c r="AA52" s="294">
        <f t="shared" si="50"/>
        <v>0.29084967320261434</v>
      </c>
      <c r="AB52" s="294">
        <f t="shared" si="51"/>
        <v>0.70140144847649621</v>
      </c>
      <c r="AC52" s="294">
        <f t="shared" si="52"/>
        <v>1.7101585878584238</v>
      </c>
      <c r="AD52" s="315">
        <f t="shared" si="53"/>
        <v>0.83938451476633069</v>
      </c>
      <c r="AE52" s="315">
        <f t="shared" si="54"/>
        <v>0.99220830836683649</v>
      </c>
      <c r="AF52" s="316">
        <f t="shared" si="55"/>
        <v>0.83159282313316707</v>
      </c>
      <c r="AG52" s="316">
        <f t="shared" si="56"/>
        <v>0.16061548523366931</v>
      </c>
      <c r="AH52" s="316">
        <f t="shared" si="57"/>
        <v>7.7916916331635111E-3</v>
      </c>
      <c r="AI52" s="316">
        <f t="shared" si="58"/>
        <v>0.16840717686683293</v>
      </c>
      <c r="AJ52" s="294">
        <f t="shared" si="59"/>
        <v>-0.7</v>
      </c>
      <c r="AK52" s="294">
        <f t="shared" si="60"/>
        <v>1.3</v>
      </c>
      <c r="AL52" s="294">
        <f t="shared" si="61"/>
        <v>0.171875</v>
      </c>
      <c r="AM52" s="313">
        <f t="shared" si="62"/>
        <v>0.42812499999999998</v>
      </c>
      <c r="AP52" s="314">
        <f t="shared" si="63"/>
        <v>0.67219010071753416</v>
      </c>
      <c r="AQ52" s="294">
        <f t="shared" si="64"/>
        <v>1.6389354141090444</v>
      </c>
      <c r="AR52" s="315">
        <f t="shared" si="65"/>
        <v>0.82910143454418506</v>
      </c>
      <c r="AS52" s="315">
        <f t="shared" si="66"/>
        <v>0.98977003095985949</v>
      </c>
      <c r="AT52" s="316">
        <f t="shared" si="67"/>
        <v>0.81887146550404455</v>
      </c>
      <c r="AU52" s="316">
        <f t="shared" si="68"/>
        <v>0.17089856545581494</v>
      </c>
      <c r="AV52" s="316">
        <f t="shared" si="68"/>
        <v>1.0229969040140507E-2</v>
      </c>
      <c r="AW52" s="338">
        <f t="shared" si="68"/>
        <v>0.18112853449595545</v>
      </c>
    </row>
    <row r="53" spans="1:49" s="74" customFormat="1" ht="15" customHeight="1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69"/>
      <c r="P53" s="69"/>
      <c r="R53" s="210"/>
      <c r="T53" s="89"/>
      <c r="U53" s="89"/>
      <c r="X53" s="96"/>
      <c r="Y53" s="317"/>
      <c r="Z53" s="294">
        <f t="shared" si="69"/>
        <v>0.35</v>
      </c>
      <c r="AA53" s="294">
        <f t="shared" si="50"/>
        <v>0.34313725490196079</v>
      </c>
      <c r="AB53" s="294">
        <f t="shared" si="51"/>
        <v>0.82749609089923726</v>
      </c>
      <c r="AC53" s="294">
        <f t="shared" si="52"/>
        <v>1.5840639454356826</v>
      </c>
      <c r="AD53" s="315">
        <f t="shared" si="53"/>
        <v>0.87905105766835412</v>
      </c>
      <c r="AE53" s="315">
        <f t="shared" si="54"/>
        <v>0.98746118215370482</v>
      </c>
      <c r="AF53" s="316">
        <f t="shared" si="55"/>
        <v>0.86651223982205883</v>
      </c>
      <c r="AG53" s="316">
        <f t="shared" si="56"/>
        <v>0.12094894233164588</v>
      </c>
      <c r="AH53" s="316">
        <f t="shared" si="57"/>
        <v>1.253881784629518E-2</v>
      </c>
      <c r="AI53" s="316">
        <f t="shared" si="58"/>
        <v>0.13348776017794117</v>
      </c>
      <c r="AJ53" s="294">
        <f t="shared" si="59"/>
        <v>-0.65</v>
      </c>
      <c r="AK53" s="294">
        <f t="shared" si="60"/>
        <v>1.35</v>
      </c>
      <c r="AL53" s="294">
        <f t="shared" si="61"/>
        <v>0.22187499999999999</v>
      </c>
      <c r="AM53" s="313">
        <f t="shared" si="62"/>
        <v>0.47812499999999997</v>
      </c>
      <c r="AP53" s="314">
        <f t="shared" si="63"/>
        <v>0.79303326489147308</v>
      </c>
      <c r="AQ53" s="294">
        <f t="shared" si="64"/>
        <v>1.5180922499351055</v>
      </c>
      <c r="AR53" s="315">
        <f t="shared" si="65"/>
        <v>0.86896636779454095</v>
      </c>
      <c r="AS53" s="315">
        <f t="shared" si="66"/>
        <v>0.98409964290180962</v>
      </c>
      <c r="AT53" s="316">
        <f t="shared" si="67"/>
        <v>0.85306601069635057</v>
      </c>
      <c r="AU53" s="316">
        <f t="shared" si="68"/>
        <v>0.13103363220545905</v>
      </c>
      <c r="AV53" s="316">
        <f t="shared" si="68"/>
        <v>1.5900357098190376E-2</v>
      </c>
      <c r="AW53" s="338">
        <f t="shared" si="68"/>
        <v>0.14693398930364943</v>
      </c>
    </row>
    <row r="54" spans="1:49" s="74" customFormat="1" ht="15" customHeight="1" x14ac:dyDescent="0.25">
      <c r="A54" s="97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69"/>
      <c r="P54" s="69"/>
      <c r="R54" s="210"/>
      <c r="T54" s="89"/>
      <c r="U54" s="89"/>
      <c r="X54" s="96"/>
      <c r="Y54" s="317"/>
      <c r="Z54" s="294">
        <f t="shared" si="69"/>
        <v>0.39999999999999997</v>
      </c>
      <c r="AA54" s="294">
        <f t="shared" si="50"/>
        <v>0.39542483660130712</v>
      </c>
      <c r="AB54" s="294">
        <f t="shared" si="51"/>
        <v>0.95359073332197786</v>
      </c>
      <c r="AC54" s="294">
        <f t="shared" si="52"/>
        <v>1.4579693030129419</v>
      </c>
      <c r="AD54" s="315">
        <f t="shared" si="53"/>
        <v>0.91126419821958982</v>
      </c>
      <c r="AE54" s="315">
        <f t="shared" si="54"/>
        <v>0.98039041713517538</v>
      </c>
      <c r="AF54" s="316">
        <f t="shared" si="55"/>
        <v>0.89165461535476531</v>
      </c>
      <c r="AG54" s="316">
        <f t="shared" si="56"/>
        <v>8.8735801780410184E-2</v>
      </c>
      <c r="AH54" s="316">
        <f t="shared" si="57"/>
        <v>1.9609582864824615E-2</v>
      </c>
      <c r="AI54" s="316">
        <f t="shared" si="58"/>
        <v>0.10834538464523469</v>
      </c>
      <c r="AJ54" s="294">
        <f t="shared" si="59"/>
        <v>-0.60000000000000009</v>
      </c>
      <c r="AK54" s="294">
        <f t="shared" si="60"/>
        <v>1.4</v>
      </c>
      <c r="AL54" s="294">
        <f t="shared" si="61"/>
        <v>0.27187499999999998</v>
      </c>
      <c r="AM54" s="313">
        <f t="shared" si="62"/>
        <v>0.52812499999999996</v>
      </c>
      <c r="AP54" s="314">
        <f t="shared" si="63"/>
        <v>0.91387642906541156</v>
      </c>
      <c r="AQ54" s="294">
        <f t="shared" si="64"/>
        <v>1.397249085761167</v>
      </c>
      <c r="AR54" s="315">
        <f t="shared" si="65"/>
        <v>0.90189351685712538</v>
      </c>
      <c r="AS54" s="315">
        <f t="shared" si="66"/>
        <v>0.97592309880947137</v>
      </c>
      <c r="AT54" s="316">
        <f t="shared" si="67"/>
        <v>0.87781661566659674</v>
      </c>
      <c r="AU54" s="316">
        <f t="shared" si="68"/>
        <v>9.8106483142874623E-2</v>
      </c>
      <c r="AV54" s="316">
        <f t="shared" si="68"/>
        <v>2.4076901190528632E-2</v>
      </c>
      <c r="AW54" s="338">
        <f t="shared" si="68"/>
        <v>0.12218338433340326</v>
      </c>
    </row>
    <row r="55" spans="1:49" s="74" customFormat="1" ht="15" customHeight="1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69"/>
      <c r="P55" s="69"/>
      <c r="R55" s="210"/>
      <c r="T55" s="89"/>
      <c r="U55" s="89"/>
      <c r="X55" s="96"/>
      <c r="Y55" s="317"/>
      <c r="Z55" s="294">
        <f t="shared" si="69"/>
        <v>0.44999999999999996</v>
      </c>
      <c r="AA55" s="294">
        <f t="shared" si="50"/>
        <v>0.44771241830065356</v>
      </c>
      <c r="AB55" s="294">
        <f t="shared" si="51"/>
        <v>1.0796853757447189</v>
      </c>
      <c r="AC55" s="294">
        <f t="shared" si="52"/>
        <v>1.331874660590201</v>
      </c>
      <c r="AD55" s="315">
        <f t="shared" si="53"/>
        <v>0.93660776918288535</v>
      </c>
      <c r="AE55" s="315">
        <f t="shared" si="54"/>
        <v>0.97018741728655222</v>
      </c>
      <c r="AF55" s="316">
        <f t="shared" si="55"/>
        <v>0.90679518646943746</v>
      </c>
      <c r="AG55" s="316">
        <f t="shared" si="56"/>
        <v>6.3392230817114648E-2</v>
      </c>
      <c r="AH55" s="316">
        <f t="shared" si="57"/>
        <v>2.9812582713447777E-2</v>
      </c>
      <c r="AI55" s="316">
        <f t="shared" si="58"/>
        <v>9.3204813530562536E-2</v>
      </c>
      <c r="AJ55" s="294">
        <f t="shared" si="59"/>
        <v>-0.55000000000000004</v>
      </c>
      <c r="AK55" s="294">
        <f t="shared" si="60"/>
        <v>1.45</v>
      </c>
      <c r="AL55" s="294">
        <f t="shared" si="61"/>
        <v>0.32187499999999997</v>
      </c>
      <c r="AM55" s="313">
        <f t="shared" si="62"/>
        <v>0.578125</v>
      </c>
      <c r="AP55" s="314">
        <f t="shared" si="63"/>
        <v>1.0347195932393505</v>
      </c>
      <c r="AQ55" s="294">
        <f t="shared" si="64"/>
        <v>1.2764059215872281</v>
      </c>
      <c r="AR55" s="315">
        <f t="shared" si="65"/>
        <v>0.92830932659685594</v>
      </c>
      <c r="AS55" s="315">
        <f t="shared" si="66"/>
        <v>0.96447130895819289</v>
      </c>
      <c r="AT55" s="316">
        <f t="shared" si="67"/>
        <v>0.89278063555504872</v>
      </c>
      <c r="AU55" s="316">
        <f t="shared" si="68"/>
        <v>7.1690673403144056E-2</v>
      </c>
      <c r="AV55" s="316">
        <f t="shared" si="68"/>
        <v>3.5528691041807114E-2</v>
      </c>
      <c r="AW55" s="338">
        <f t="shared" si="68"/>
        <v>0.10721936444495128</v>
      </c>
    </row>
    <row r="56" spans="1:49" s="74" customFormat="1" ht="15" customHeight="1" x14ac:dyDescent="0.25">
      <c r="A56" s="94"/>
      <c r="B56" s="86"/>
      <c r="C56" s="86"/>
      <c r="D56" s="95"/>
      <c r="E56" s="86"/>
      <c r="F56" s="86"/>
      <c r="G56" s="94"/>
      <c r="H56" s="69"/>
      <c r="I56" s="69"/>
      <c r="J56" s="69"/>
      <c r="K56" s="69"/>
      <c r="L56" s="69"/>
      <c r="M56" s="69"/>
      <c r="N56" s="86"/>
      <c r="O56" s="69"/>
      <c r="P56" s="69"/>
      <c r="R56" s="210"/>
      <c r="T56" s="89"/>
      <c r="U56" s="89"/>
      <c r="X56" s="96"/>
      <c r="Y56" s="317"/>
      <c r="Z56" s="294">
        <f t="shared" si="69"/>
        <v>0.49999999999999994</v>
      </c>
      <c r="AA56" s="294">
        <f t="shared" si="50"/>
        <v>0.49999999999999994</v>
      </c>
      <c r="AB56" s="294">
        <f t="shared" si="51"/>
        <v>1.2057800181674598</v>
      </c>
      <c r="AC56" s="294">
        <f t="shared" si="52"/>
        <v>1.2057800181674601</v>
      </c>
      <c r="AD56" s="315">
        <f t="shared" si="53"/>
        <v>0.95592427392351276</v>
      </c>
      <c r="AE56" s="315">
        <f t="shared" si="54"/>
        <v>0.95592427392351276</v>
      </c>
      <c r="AF56" s="316">
        <f t="shared" si="55"/>
        <v>0.91184854784702551</v>
      </c>
      <c r="AG56" s="316">
        <f t="shared" si="56"/>
        <v>4.4075726076487243E-2</v>
      </c>
      <c r="AH56" s="316">
        <f t="shared" si="57"/>
        <v>4.4075726076487243E-2</v>
      </c>
      <c r="AI56" s="316">
        <f t="shared" si="58"/>
        <v>8.8151452152974485E-2</v>
      </c>
      <c r="AJ56" s="294">
        <f t="shared" si="59"/>
        <v>-0.5</v>
      </c>
      <c r="AK56" s="294">
        <f t="shared" si="60"/>
        <v>1.5</v>
      </c>
      <c r="AL56" s="294">
        <f t="shared" si="61"/>
        <v>0.37187499999999996</v>
      </c>
      <c r="AM56" s="313">
        <f t="shared" si="62"/>
        <v>0.62812499999999993</v>
      </c>
      <c r="AP56" s="314">
        <f t="shared" si="63"/>
        <v>1.1555627574132892</v>
      </c>
      <c r="AQ56" s="294">
        <f t="shared" si="64"/>
        <v>1.1555627574132894</v>
      </c>
      <c r="AR56" s="315">
        <f t="shared" si="65"/>
        <v>0.94889288310376219</v>
      </c>
      <c r="AS56" s="315">
        <f t="shared" si="66"/>
        <v>0.94889288310376219</v>
      </c>
      <c r="AT56" s="316">
        <f t="shared" si="67"/>
        <v>0.89778576620752437</v>
      </c>
      <c r="AU56" s="316">
        <f t="shared" si="68"/>
        <v>5.1107116896237814E-2</v>
      </c>
      <c r="AV56" s="316">
        <f t="shared" si="68"/>
        <v>5.1107116896237814E-2</v>
      </c>
      <c r="AW56" s="338">
        <f t="shared" si="68"/>
        <v>0.10221423379247563</v>
      </c>
    </row>
    <row r="57" spans="1:49" s="74" customFormat="1" ht="15" customHeight="1" x14ac:dyDescent="0.25">
      <c r="A57" s="94"/>
      <c r="B57" s="86"/>
      <c r="C57" s="86"/>
      <c r="D57" s="95"/>
      <c r="E57" s="86"/>
      <c r="F57" s="86"/>
      <c r="G57" s="94"/>
      <c r="H57" s="69"/>
      <c r="I57" s="69"/>
      <c r="J57" s="69"/>
      <c r="K57" s="69"/>
      <c r="L57" s="69"/>
      <c r="M57" s="69"/>
      <c r="N57" s="86"/>
      <c r="O57" s="69"/>
      <c r="P57" s="69"/>
      <c r="R57" s="210"/>
      <c r="T57" s="89"/>
      <c r="U57" s="89"/>
      <c r="X57" s="96"/>
      <c r="Y57" s="317"/>
      <c r="Z57" s="294">
        <f t="shared" si="69"/>
        <v>0.54999999999999993</v>
      </c>
      <c r="AA57" s="294">
        <f t="shared" si="50"/>
        <v>0.55228758169934633</v>
      </c>
      <c r="AB57" s="294">
        <f t="shared" si="51"/>
        <v>1.3318746605902005</v>
      </c>
      <c r="AC57" s="294">
        <f t="shared" si="52"/>
        <v>1.0796853757447193</v>
      </c>
      <c r="AD57" s="315">
        <f t="shared" si="53"/>
        <v>0.97018741728655211</v>
      </c>
      <c r="AE57" s="315">
        <f t="shared" si="54"/>
        <v>0.93660776918288535</v>
      </c>
      <c r="AF57" s="316">
        <f t="shared" si="55"/>
        <v>0.90679518646943746</v>
      </c>
      <c r="AG57" s="316">
        <f t="shared" si="56"/>
        <v>2.9812582713447888E-2</v>
      </c>
      <c r="AH57" s="316">
        <f t="shared" si="57"/>
        <v>6.3392230817114648E-2</v>
      </c>
      <c r="AI57" s="316">
        <f t="shared" si="58"/>
        <v>9.3204813530562536E-2</v>
      </c>
      <c r="AJ57" s="294">
        <f t="shared" si="59"/>
        <v>-0.45000000000000007</v>
      </c>
      <c r="AK57" s="294">
        <f t="shared" si="60"/>
        <v>1.5499999999999998</v>
      </c>
      <c r="AL57" s="294">
        <f t="shared" si="61"/>
        <v>0.42187499999999994</v>
      </c>
      <c r="AM57" s="313">
        <f t="shared" si="62"/>
        <v>0.67812499999999987</v>
      </c>
      <c r="AP57" s="314">
        <f t="shared" si="63"/>
        <v>1.2764059215872279</v>
      </c>
      <c r="AQ57" s="294">
        <f t="shared" si="64"/>
        <v>1.0347195932393507</v>
      </c>
      <c r="AR57" s="315">
        <f t="shared" si="65"/>
        <v>0.96447130895819289</v>
      </c>
      <c r="AS57" s="315">
        <f t="shared" si="66"/>
        <v>0.92830932659685605</v>
      </c>
      <c r="AT57" s="316">
        <f t="shared" si="67"/>
        <v>0.89278063555504894</v>
      </c>
      <c r="AU57" s="316">
        <f t="shared" si="68"/>
        <v>3.5528691041807114E-2</v>
      </c>
      <c r="AV57" s="316">
        <f t="shared" si="68"/>
        <v>7.1690673403143945E-2</v>
      </c>
      <c r="AW57" s="338">
        <f t="shared" si="68"/>
        <v>0.10721936444495106</v>
      </c>
    </row>
    <row r="58" spans="1:49" s="74" customFormat="1" ht="15" customHeight="1" x14ac:dyDescent="0.25">
      <c r="A58" s="94"/>
      <c r="B58" s="86"/>
      <c r="C58" s="86"/>
      <c r="D58" s="95"/>
      <c r="E58" s="86"/>
      <c r="F58" s="86"/>
      <c r="G58" s="94"/>
      <c r="H58" s="69"/>
      <c r="I58" s="69"/>
      <c r="J58" s="69"/>
      <c r="K58" s="69"/>
      <c r="L58" s="69"/>
      <c r="M58" s="69"/>
      <c r="N58" s="86"/>
      <c r="O58" s="69"/>
      <c r="P58" s="69"/>
      <c r="R58" s="210"/>
      <c r="T58" s="89"/>
      <c r="U58" s="89"/>
      <c r="X58" s="96"/>
      <c r="Y58" s="317"/>
      <c r="Z58" s="294">
        <f t="shared" si="69"/>
        <v>0.6</v>
      </c>
      <c r="AA58" s="294">
        <f t="shared" si="50"/>
        <v>0.60457516339869277</v>
      </c>
      <c r="AB58" s="294">
        <f t="shared" si="51"/>
        <v>1.4579693030129417</v>
      </c>
      <c r="AC58" s="294">
        <f t="shared" si="52"/>
        <v>0.9535907333219783</v>
      </c>
      <c r="AD58" s="315">
        <f t="shared" si="53"/>
        <v>0.98039041713517538</v>
      </c>
      <c r="AE58" s="315">
        <f t="shared" si="54"/>
        <v>0.91126419821958993</v>
      </c>
      <c r="AF58" s="316">
        <f t="shared" si="55"/>
        <v>0.89165461535476531</v>
      </c>
      <c r="AG58" s="316">
        <f t="shared" si="56"/>
        <v>1.9609582864824615E-2</v>
      </c>
      <c r="AH58" s="316">
        <f t="shared" si="57"/>
        <v>8.8735801780410073E-2</v>
      </c>
      <c r="AI58" s="316">
        <f t="shared" si="58"/>
        <v>0.10834538464523469</v>
      </c>
      <c r="AJ58" s="294">
        <f t="shared" si="59"/>
        <v>-0.4</v>
      </c>
      <c r="AK58" s="294">
        <f t="shared" si="60"/>
        <v>1.6</v>
      </c>
      <c r="AL58" s="294">
        <f t="shared" si="61"/>
        <v>0.47187499999999999</v>
      </c>
      <c r="AM58" s="313">
        <f t="shared" si="62"/>
        <v>0.72812499999999991</v>
      </c>
      <c r="AP58" s="314">
        <f t="shared" si="63"/>
        <v>1.3972490857611668</v>
      </c>
      <c r="AQ58" s="294">
        <f t="shared" si="64"/>
        <v>0.91387642906541189</v>
      </c>
      <c r="AR58" s="315">
        <f t="shared" si="65"/>
        <v>0.97592309880947137</v>
      </c>
      <c r="AS58" s="315">
        <f t="shared" si="66"/>
        <v>0.90189351685712538</v>
      </c>
      <c r="AT58" s="316">
        <f t="shared" si="67"/>
        <v>0.87781661566659674</v>
      </c>
      <c r="AU58" s="316">
        <f t="shared" si="68"/>
        <v>2.4076901190528632E-2</v>
      </c>
      <c r="AV58" s="316">
        <f t="shared" si="68"/>
        <v>9.8106483142874623E-2</v>
      </c>
      <c r="AW58" s="338">
        <f t="shared" si="68"/>
        <v>0.12218338433340326</v>
      </c>
    </row>
    <row r="59" spans="1:49" s="74" customFormat="1" ht="15" customHeight="1" x14ac:dyDescent="0.25">
      <c r="A59" s="94"/>
      <c r="B59" s="86"/>
      <c r="C59" s="86"/>
      <c r="D59" s="95"/>
      <c r="E59" s="86"/>
      <c r="F59" s="86"/>
      <c r="G59" s="94"/>
      <c r="H59" s="69"/>
      <c r="I59" s="69"/>
      <c r="J59" s="69"/>
      <c r="K59" s="69"/>
      <c r="L59" s="69"/>
      <c r="M59" s="69"/>
      <c r="N59" s="86"/>
      <c r="O59" s="69"/>
      <c r="P59" s="69"/>
      <c r="R59" s="210"/>
      <c r="T59" s="89"/>
      <c r="U59" s="89"/>
      <c r="X59" s="96"/>
      <c r="Y59" s="317"/>
      <c r="Z59" s="294">
        <f t="shared" si="69"/>
        <v>0.65</v>
      </c>
      <c r="AA59" s="294">
        <f t="shared" si="50"/>
        <v>0.65686274509803921</v>
      </c>
      <c r="AB59" s="294">
        <f t="shared" si="51"/>
        <v>1.5840639454356826</v>
      </c>
      <c r="AC59" s="294">
        <f t="shared" si="52"/>
        <v>0.82749609089923726</v>
      </c>
      <c r="AD59" s="315">
        <f t="shared" si="53"/>
        <v>0.98746118215370482</v>
      </c>
      <c r="AE59" s="315">
        <f t="shared" si="54"/>
        <v>0.87905105766835412</v>
      </c>
      <c r="AF59" s="316">
        <f t="shared" si="55"/>
        <v>0.86651223982205883</v>
      </c>
      <c r="AG59" s="316">
        <f t="shared" si="56"/>
        <v>1.253881784629518E-2</v>
      </c>
      <c r="AH59" s="316">
        <f t="shared" si="57"/>
        <v>0.12094894233164588</v>
      </c>
      <c r="AI59" s="316">
        <f t="shared" si="58"/>
        <v>0.13348776017794117</v>
      </c>
      <c r="AJ59" s="294">
        <f t="shared" si="59"/>
        <v>-0.35</v>
      </c>
      <c r="AK59" s="294">
        <f t="shared" si="60"/>
        <v>1.65</v>
      </c>
      <c r="AL59" s="294">
        <f t="shared" si="61"/>
        <v>0.52187500000000009</v>
      </c>
      <c r="AM59" s="313">
        <f t="shared" si="62"/>
        <v>0.77812499999999996</v>
      </c>
      <c r="AP59" s="314">
        <f t="shared" si="63"/>
        <v>1.5180922499351055</v>
      </c>
      <c r="AQ59" s="294">
        <f t="shared" si="64"/>
        <v>0.79303326489147308</v>
      </c>
      <c r="AR59" s="315">
        <f t="shared" si="65"/>
        <v>0.98409964290180962</v>
      </c>
      <c r="AS59" s="315">
        <f t="shared" si="66"/>
        <v>0.86896636779454095</v>
      </c>
      <c r="AT59" s="316">
        <f t="shared" si="67"/>
        <v>0.85306601069635057</v>
      </c>
      <c r="AU59" s="316">
        <f t="shared" si="68"/>
        <v>1.5900357098190376E-2</v>
      </c>
      <c r="AV59" s="316">
        <f t="shared" si="68"/>
        <v>0.13103363220545905</v>
      </c>
      <c r="AW59" s="338">
        <f t="shared" si="68"/>
        <v>0.14693398930364943</v>
      </c>
    </row>
    <row r="60" spans="1:49" s="74" customFormat="1" ht="15" customHeight="1" x14ac:dyDescent="0.25">
      <c r="A60" s="94"/>
      <c r="B60" s="86"/>
      <c r="C60" s="86"/>
      <c r="D60" s="95"/>
      <c r="E60" s="86"/>
      <c r="F60" s="86"/>
      <c r="G60" s="94"/>
      <c r="H60" s="69"/>
      <c r="I60" s="69"/>
      <c r="J60" s="69"/>
      <c r="K60" s="69"/>
      <c r="L60" s="69"/>
      <c r="M60" s="69"/>
      <c r="N60" s="86"/>
      <c r="O60" s="69"/>
      <c r="P60" s="69"/>
      <c r="R60" s="210"/>
      <c r="T60" s="89"/>
      <c r="U60" s="89"/>
      <c r="X60" s="96"/>
      <c r="Y60" s="317"/>
      <c r="Z60" s="294">
        <f t="shared" si="69"/>
        <v>0.70000000000000007</v>
      </c>
      <c r="AA60" s="294">
        <f t="shared" si="50"/>
        <v>0.70915032679738577</v>
      </c>
      <c r="AB60" s="294">
        <f t="shared" si="51"/>
        <v>1.710158587858424</v>
      </c>
      <c r="AC60" s="294">
        <f t="shared" si="52"/>
        <v>0.70140144847649599</v>
      </c>
      <c r="AD60" s="315">
        <f t="shared" si="53"/>
        <v>0.99220830836683649</v>
      </c>
      <c r="AE60" s="315">
        <f t="shared" si="54"/>
        <v>0.83938451476633058</v>
      </c>
      <c r="AF60" s="316">
        <f t="shared" si="55"/>
        <v>0.83159282313316707</v>
      </c>
      <c r="AG60" s="316">
        <f t="shared" si="56"/>
        <v>7.7916916331635111E-3</v>
      </c>
      <c r="AH60" s="316">
        <f t="shared" si="57"/>
        <v>0.16061548523366942</v>
      </c>
      <c r="AI60" s="316">
        <f t="shared" si="58"/>
        <v>0.16840717686683293</v>
      </c>
      <c r="AJ60" s="294">
        <f t="shared" si="59"/>
        <v>-0.29999999999999993</v>
      </c>
      <c r="AK60" s="294">
        <f t="shared" si="60"/>
        <v>1.7000000000000002</v>
      </c>
      <c r="AL60" s="294">
        <f t="shared" si="61"/>
        <v>0.57187500000000013</v>
      </c>
      <c r="AM60" s="313">
        <f t="shared" si="62"/>
        <v>0.828125</v>
      </c>
      <c r="AP60" s="314">
        <f t="shared" si="63"/>
        <v>1.6389354141090449</v>
      </c>
      <c r="AQ60" s="294">
        <f t="shared" si="64"/>
        <v>0.67219010071753393</v>
      </c>
      <c r="AR60" s="315">
        <f t="shared" si="65"/>
        <v>0.98977003095985949</v>
      </c>
      <c r="AS60" s="315">
        <f t="shared" si="66"/>
        <v>0.82910143454418506</v>
      </c>
      <c r="AT60" s="316">
        <f t="shared" si="67"/>
        <v>0.81887146550404455</v>
      </c>
      <c r="AU60" s="316">
        <f t="shared" si="68"/>
        <v>1.0229969040140507E-2</v>
      </c>
      <c r="AV60" s="316">
        <f t="shared" si="68"/>
        <v>0.17089856545581494</v>
      </c>
      <c r="AW60" s="338">
        <f t="shared" si="68"/>
        <v>0.18112853449595545</v>
      </c>
    </row>
    <row r="61" spans="1:49" s="74" customFormat="1" ht="15" customHeight="1" x14ac:dyDescent="0.25">
      <c r="A61" s="94"/>
      <c r="B61" s="86"/>
      <c r="C61" s="86"/>
      <c r="D61" s="95"/>
      <c r="E61" s="86"/>
      <c r="F61" s="86"/>
      <c r="G61" s="94"/>
      <c r="H61" s="69"/>
      <c r="I61" s="69"/>
      <c r="J61" s="69"/>
      <c r="K61" s="69"/>
      <c r="L61" s="69"/>
      <c r="M61" s="69"/>
      <c r="N61" s="86"/>
      <c r="O61" s="69"/>
      <c r="P61" s="69"/>
      <c r="R61" s="210"/>
      <c r="T61" s="89"/>
      <c r="U61" s="89"/>
      <c r="X61" s="96"/>
      <c r="Y61" s="317"/>
      <c r="Z61" s="294">
        <f t="shared" si="69"/>
        <v>0.75000000000000011</v>
      </c>
      <c r="AA61" s="294">
        <f t="shared" si="50"/>
        <v>0.76143790849673221</v>
      </c>
      <c r="AB61" s="294">
        <f t="shared" si="51"/>
        <v>1.8362532302811652</v>
      </c>
      <c r="AC61" s="294">
        <f t="shared" si="52"/>
        <v>0.57530680605375506</v>
      </c>
      <c r="AD61" s="315">
        <f t="shared" si="53"/>
        <v>0.99529590782620847</v>
      </c>
      <c r="AE61" s="315">
        <f t="shared" si="54"/>
        <v>0.79206484725923132</v>
      </c>
      <c r="AF61" s="316">
        <f t="shared" si="55"/>
        <v>0.78736075508543979</v>
      </c>
      <c r="AG61" s="316">
        <f t="shared" si="56"/>
        <v>4.7040921737915298E-3</v>
      </c>
      <c r="AH61" s="316">
        <f t="shared" si="57"/>
        <v>0.20793515274076868</v>
      </c>
      <c r="AI61" s="316">
        <f t="shared" si="58"/>
        <v>0.21263924491456021</v>
      </c>
      <c r="AJ61" s="294">
        <f t="shared" si="59"/>
        <v>-0.24999999999999989</v>
      </c>
      <c r="AK61" s="294">
        <f t="shared" si="60"/>
        <v>1.75</v>
      </c>
      <c r="AL61" s="294">
        <f t="shared" si="61"/>
        <v>0.62187500000000018</v>
      </c>
      <c r="AM61" s="313">
        <f t="shared" si="62"/>
        <v>0.87812500000000004</v>
      </c>
      <c r="AP61" s="314">
        <f t="shared" si="63"/>
        <v>1.7597785782829836</v>
      </c>
      <c r="AQ61" s="294">
        <f t="shared" si="64"/>
        <v>0.55134693654359523</v>
      </c>
      <c r="AR61" s="315">
        <f t="shared" si="65"/>
        <v>0.99358949417520059</v>
      </c>
      <c r="AS61" s="315">
        <f t="shared" si="66"/>
        <v>0.78222282954052735</v>
      </c>
      <c r="AT61" s="316">
        <f t="shared" si="67"/>
        <v>0.77581232371572795</v>
      </c>
      <c r="AU61" s="316">
        <f t="shared" si="68"/>
        <v>6.4105058247994062E-3</v>
      </c>
      <c r="AV61" s="316">
        <f t="shared" si="68"/>
        <v>0.21777717045947265</v>
      </c>
      <c r="AW61" s="338">
        <f t="shared" si="68"/>
        <v>0.22418767628427205</v>
      </c>
    </row>
    <row r="62" spans="1:49" s="74" customFormat="1" ht="15" customHeight="1" x14ac:dyDescent="0.25">
      <c r="A62" s="94"/>
      <c r="B62" s="86"/>
      <c r="C62" s="86"/>
      <c r="D62" s="95"/>
      <c r="E62" s="86"/>
      <c r="F62" s="86"/>
      <c r="G62" s="94"/>
      <c r="H62" s="69"/>
      <c r="I62" s="69"/>
      <c r="J62" s="69"/>
      <c r="K62" s="69"/>
      <c r="L62" s="69"/>
      <c r="M62" s="69"/>
      <c r="N62" s="86"/>
      <c r="O62" s="69"/>
      <c r="P62" s="69"/>
      <c r="R62" s="210"/>
      <c r="T62" s="89"/>
      <c r="U62" s="89"/>
      <c r="X62" s="96"/>
      <c r="Y62" s="317"/>
      <c r="Z62" s="294">
        <f t="shared" si="69"/>
        <v>0.80000000000000016</v>
      </c>
      <c r="AA62" s="294">
        <f t="shared" si="50"/>
        <v>0.81372549019607865</v>
      </c>
      <c r="AB62" s="294">
        <f t="shared" si="51"/>
        <v>1.9623478727039061</v>
      </c>
      <c r="AC62" s="294">
        <f t="shared" si="52"/>
        <v>0.44921216363101396</v>
      </c>
      <c r="AD62" s="315">
        <f t="shared" si="53"/>
        <v>0.99724143315053126</v>
      </c>
      <c r="AE62" s="315">
        <f t="shared" si="54"/>
        <v>0.73737772302468152</v>
      </c>
      <c r="AF62" s="316">
        <f t="shared" si="55"/>
        <v>0.73461915617521267</v>
      </c>
      <c r="AG62" s="316">
        <f t="shared" si="56"/>
        <v>2.7585668494687354E-3</v>
      </c>
      <c r="AH62" s="316">
        <f t="shared" si="57"/>
        <v>0.26262227697531848</v>
      </c>
      <c r="AI62" s="316">
        <f t="shared" si="58"/>
        <v>0.26538084382478733</v>
      </c>
      <c r="AJ62" s="294">
        <f t="shared" si="59"/>
        <v>-0.19999999999999984</v>
      </c>
      <c r="AK62" s="294">
        <f t="shared" si="60"/>
        <v>1.8000000000000003</v>
      </c>
      <c r="AL62" s="294">
        <f t="shared" si="61"/>
        <v>0.67187500000000022</v>
      </c>
      <c r="AM62" s="313">
        <f t="shared" si="62"/>
        <v>0.92812500000000009</v>
      </c>
      <c r="AP62" s="314">
        <f t="shared" si="63"/>
        <v>1.8806217424569225</v>
      </c>
      <c r="AQ62" s="294">
        <f t="shared" si="64"/>
        <v>0.43050377236965631</v>
      </c>
      <c r="AR62" s="315">
        <f t="shared" si="65"/>
        <v>0.99608833388845741</v>
      </c>
      <c r="AS62" s="315">
        <f t="shared" si="66"/>
        <v>0.72867953876533853</v>
      </c>
      <c r="AT62" s="316">
        <f t="shared" si="67"/>
        <v>0.72476787265379583</v>
      </c>
      <c r="AU62" s="316">
        <f t="shared" si="68"/>
        <v>3.9116661115425888E-3</v>
      </c>
      <c r="AV62" s="316">
        <f t="shared" si="68"/>
        <v>0.27132046123466147</v>
      </c>
      <c r="AW62" s="338">
        <f t="shared" si="68"/>
        <v>0.27523212734620417</v>
      </c>
    </row>
    <row r="63" spans="1:49" s="74" customFormat="1" ht="15" customHeight="1" x14ac:dyDescent="0.25">
      <c r="A63" s="94"/>
      <c r="B63" s="86"/>
      <c r="C63" s="86"/>
      <c r="D63" s="95"/>
      <c r="E63" s="86"/>
      <c r="F63" s="86"/>
      <c r="G63" s="94"/>
      <c r="H63" s="69"/>
      <c r="I63" s="69"/>
      <c r="J63" s="69"/>
      <c r="K63" s="69"/>
      <c r="L63" s="69"/>
      <c r="M63" s="69"/>
      <c r="N63" s="86"/>
      <c r="O63" s="69"/>
      <c r="P63" s="69"/>
      <c r="R63" s="210"/>
      <c r="T63" s="89"/>
      <c r="U63" s="89"/>
      <c r="X63" s="96"/>
      <c r="Y63" s="317"/>
      <c r="Z63" s="294">
        <f t="shared" si="69"/>
        <v>0.8500000000000002</v>
      </c>
      <c r="AA63" s="294">
        <f t="shared" si="50"/>
        <v>0.86601307189542509</v>
      </c>
      <c r="AB63" s="294">
        <f t="shared" si="51"/>
        <v>2.0884425151266468</v>
      </c>
      <c r="AC63" s="294">
        <f t="shared" si="52"/>
        <v>0.32311752120827297</v>
      </c>
      <c r="AD63" s="315">
        <f t="shared" si="53"/>
        <v>0.99842905593764653</v>
      </c>
      <c r="AE63" s="315">
        <f t="shared" si="54"/>
        <v>0.67614908852632816</v>
      </c>
      <c r="AF63" s="316">
        <f t="shared" si="55"/>
        <v>0.67457814446397468</v>
      </c>
      <c r="AG63" s="316">
        <f t="shared" si="56"/>
        <v>1.5709440623534743E-3</v>
      </c>
      <c r="AH63" s="316">
        <f t="shared" si="57"/>
        <v>0.32385091147367184</v>
      </c>
      <c r="AI63" s="316">
        <f t="shared" si="58"/>
        <v>0.32542185553602532</v>
      </c>
      <c r="AJ63" s="294">
        <f t="shared" si="59"/>
        <v>-0.1499999999999998</v>
      </c>
      <c r="AK63" s="294">
        <f t="shared" si="60"/>
        <v>1.85</v>
      </c>
      <c r="AL63" s="294">
        <f t="shared" si="61"/>
        <v>0.72187500000000027</v>
      </c>
      <c r="AM63" s="313">
        <f t="shared" si="62"/>
        <v>0.97812500000000013</v>
      </c>
      <c r="AP63" s="314">
        <f t="shared" si="63"/>
        <v>2.001464906630861</v>
      </c>
      <c r="AQ63" s="294">
        <f t="shared" si="64"/>
        <v>0.30966060819571745</v>
      </c>
      <c r="AR63" s="315">
        <f t="shared" si="65"/>
        <v>0.99767622583679005</v>
      </c>
      <c r="AS63" s="315">
        <f t="shared" si="66"/>
        <v>0.66928012036557638</v>
      </c>
      <c r="AT63" s="316">
        <f t="shared" si="67"/>
        <v>0.66695634620236643</v>
      </c>
      <c r="AU63" s="316">
        <f t="shared" si="68"/>
        <v>2.3237741632099462E-3</v>
      </c>
      <c r="AV63" s="316">
        <f t="shared" si="68"/>
        <v>0.33071987963442362</v>
      </c>
      <c r="AW63" s="338">
        <f t="shared" si="68"/>
        <v>0.33304365379763357</v>
      </c>
    </row>
    <row r="64" spans="1:49" s="74" customFormat="1" ht="15" customHeight="1" x14ac:dyDescent="0.25">
      <c r="A64" s="94"/>
      <c r="B64" s="86"/>
      <c r="C64" s="86"/>
      <c r="D64" s="95"/>
      <c r="E64" s="86"/>
      <c r="F64" s="86"/>
      <c r="G64" s="94"/>
      <c r="H64" s="69"/>
      <c r="I64" s="69"/>
      <c r="J64" s="69"/>
      <c r="K64" s="69"/>
      <c r="L64" s="69"/>
      <c r="M64" s="69"/>
      <c r="N64" s="86"/>
      <c r="O64" s="69"/>
      <c r="P64" s="69"/>
      <c r="R64" s="210"/>
      <c r="T64" s="89"/>
      <c r="U64" s="89"/>
      <c r="X64" s="96"/>
      <c r="Y64" s="317"/>
      <c r="Z64" s="294">
        <f t="shared" si="69"/>
        <v>0.90000000000000024</v>
      </c>
      <c r="AA64" s="294">
        <f t="shared" si="50"/>
        <v>0.91830065359477153</v>
      </c>
      <c r="AB64" s="294">
        <f t="shared" si="51"/>
        <v>2.2145371575493877</v>
      </c>
      <c r="AC64" s="294">
        <f t="shared" si="52"/>
        <v>0.19702287878553199</v>
      </c>
      <c r="AD64" s="315">
        <f t="shared" si="53"/>
        <v>0.99913139334610912</v>
      </c>
      <c r="AE64" s="315">
        <f t="shared" si="54"/>
        <v>0.60973653776292502</v>
      </c>
      <c r="AF64" s="316">
        <f t="shared" si="55"/>
        <v>0.60886793110903414</v>
      </c>
      <c r="AG64" s="316">
        <f t="shared" si="56"/>
        <v>8.6860665389087988E-4</v>
      </c>
      <c r="AH64" s="316">
        <f t="shared" si="57"/>
        <v>0.39026346223707498</v>
      </c>
      <c r="AI64" s="316">
        <f t="shared" si="58"/>
        <v>0.39113206889096586</v>
      </c>
      <c r="AJ64" s="294">
        <f t="shared" si="59"/>
        <v>-9.9999999999999756E-2</v>
      </c>
      <c r="AK64" s="294">
        <f t="shared" si="60"/>
        <v>1.9000000000000004</v>
      </c>
      <c r="AL64" s="294">
        <f t="shared" si="61"/>
        <v>0.77187500000000031</v>
      </c>
      <c r="AM64" s="313">
        <f t="shared" si="62"/>
        <v>1.0281250000000002</v>
      </c>
      <c r="AP64" s="314">
        <f t="shared" si="63"/>
        <v>2.1223080708048001</v>
      </c>
      <c r="AQ64" s="294">
        <f t="shared" si="64"/>
        <v>0.18881744402177864</v>
      </c>
      <c r="AR64" s="315">
        <f t="shared" si="65"/>
        <v>0.99865627967291726</v>
      </c>
      <c r="AS64" s="315">
        <f t="shared" si="66"/>
        <v>0.60527627184953858</v>
      </c>
      <c r="AT64" s="316">
        <f t="shared" si="67"/>
        <v>0.60393255152245584</v>
      </c>
      <c r="AU64" s="316">
        <f t="shared" si="68"/>
        <v>1.3437203270827425E-3</v>
      </c>
      <c r="AV64" s="316">
        <f t="shared" si="68"/>
        <v>0.39472372815046142</v>
      </c>
      <c r="AW64" s="338">
        <f t="shared" si="68"/>
        <v>0.39606744847754416</v>
      </c>
    </row>
    <row r="65" spans="1:49" s="74" customFormat="1" ht="15" customHeight="1" x14ac:dyDescent="0.25">
      <c r="A65" s="94"/>
      <c r="B65" s="86"/>
      <c r="C65" s="86"/>
      <c r="D65" s="95"/>
      <c r="E65" s="86"/>
      <c r="F65" s="86"/>
      <c r="G65" s="94"/>
      <c r="H65" s="69"/>
      <c r="I65" s="69"/>
      <c r="J65" s="69"/>
      <c r="K65" s="69"/>
      <c r="L65" s="69"/>
      <c r="M65" s="69"/>
      <c r="N65" s="86"/>
      <c r="O65" s="69"/>
      <c r="P65" s="69"/>
      <c r="R65" s="210"/>
      <c r="T65" s="89"/>
      <c r="U65" s="89"/>
      <c r="X65" s="96"/>
      <c r="Y65" s="317"/>
      <c r="Z65" s="294">
        <f t="shared" si="69"/>
        <v>0.95000000000000029</v>
      </c>
      <c r="AA65" s="294">
        <f t="shared" si="50"/>
        <v>0.97058823529411797</v>
      </c>
      <c r="AB65" s="294">
        <f t="shared" si="51"/>
        <v>2.3406317999721287</v>
      </c>
      <c r="AC65" s="294">
        <f t="shared" si="52"/>
        <v>7.092823636279097E-2</v>
      </c>
      <c r="AD65" s="315">
        <f t="shared" si="53"/>
        <v>0.99953377545750421</v>
      </c>
      <c r="AE65" s="315">
        <f t="shared" si="54"/>
        <v>0.53994996730270994</v>
      </c>
      <c r="AF65" s="316">
        <f t="shared" si="55"/>
        <v>0.53948374276021416</v>
      </c>
      <c r="AG65" s="316">
        <f t="shared" si="56"/>
        <v>4.662245424957856E-4</v>
      </c>
      <c r="AH65" s="316">
        <f t="shared" si="57"/>
        <v>0.46005003269729006</v>
      </c>
      <c r="AI65" s="316">
        <f t="shared" si="58"/>
        <v>0.46051625723978584</v>
      </c>
      <c r="AJ65" s="294">
        <f t="shared" si="59"/>
        <v>-4.9999999999999711E-2</v>
      </c>
      <c r="AK65" s="294">
        <f t="shared" si="60"/>
        <v>1.9500000000000002</v>
      </c>
      <c r="AL65" s="294">
        <f t="shared" si="61"/>
        <v>0.82187500000000036</v>
      </c>
      <c r="AM65" s="313">
        <f t="shared" si="62"/>
        <v>1.0781250000000002</v>
      </c>
      <c r="AP65" s="314">
        <f t="shared" si="63"/>
        <v>2.2431512349787388</v>
      </c>
      <c r="AQ65" s="294">
        <f t="shared" si="64"/>
        <v>6.7974279847839797E-2</v>
      </c>
      <c r="AR65" s="315">
        <f t="shared" si="65"/>
        <v>0.9992438032723242</v>
      </c>
      <c r="AS65" s="315">
        <f t="shared" si="66"/>
        <v>0.53829139641102597</v>
      </c>
      <c r="AT65" s="316">
        <f t="shared" si="67"/>
        <v>0.53753519968335017</v>
      </c>
      <c r="AU65" s="316">
        <f t="shared" si="68"/>
        <v>7.5619672767579527E-4</v>
      </c>
      <c r="AV65" s="316">
        <f t="shared" si="68"/>
        <v>0.46170860358897403</v>
      </c>
      <c r="AW65" s="338">
        <f t="shared" si="68"/>
        <v>0.46246480031664983</v>
      </c>
    </row>
    <row r="66" spans="1:49" s="74" customFormat="1" ht="15" customHeight="1" x14ac:dyDescent="0.25">
      <c r="A66" s="94"/>
      <c r="B66" s="86"/>
      <c r="C66" s="86"/>
      <c r="D66" s="95"/>
      <c r="E66" s="86"/>
      <c r="F66" s="86"/>
      <c r="G66" s="94"/>
      <c r="H66" s="69"/>
      <c r="I66" s="69"/>
      <c r="J66" s="69"/>
      <c r="K66" s="69"/>
      <c r="L66" s="69"/>
      <c r="M66" s="69"/>
      <c r="N66" s="86"/>
      <c r="O66" s="69"/>
      <c r="P66" s="69"/>
      <c r="R66" s="210"/>
      <c r="T66" s="89"/>
      <c r="U66" s="89"/>
      <c r="X66" s="96"/>
      <c r="Y66" s="317"/>
      <c r="Z66" s="294">
        <f t="shared" si="69"/>
        <v>1.0000000000000002</v>
      </c>
      <c r="AA66" s="294">
        <f t="shared" si="50"/>
        <v>1.0228758169934644</v>
      </c>
      <c r="AB66" s="294">
        <f t="shared" si="51"/>
        <v>2.46672644239487</v>
      </c>
      <c r="AC66" s="294">
        <f t="shared" si="52"/>
        <v>-5.5166406059950032E-2</v>
      </c>
      <c r="AD66" s="315">
        <f t="shared" si="53"/>
        <v>0.99975711059265837</v>
      </c>
      <c r="AE66" s="315">
        <f t="shared" si="54"/>
        <v>0.46890723340807566</v>
      </c>
      <c r="AF66" s="316">
        <f t="shared" si="55"/>
        <v>0.46866434400073409</v>
      </c>
      <c r="AG66" s="316">
        <f t="shared" si="56"/>
        <v>2.4288940734162878E-4</v>
      </c>
      <c r="AH66" s="316">
        <f t="shared" si="57"/>
        <v>0.53109276659192428</v>
      </c>
      <c r="AI66" s="316">
        <f t="shared" si="58"/>
        <v>0.53133565599926591</v>
      </c>
      <c r="AJ66" s="294">
        <f t="shared" si="59"/>
        <v>0</v>
      </c>
      <c r="AK66" s="294">
        <f t="shared" si="60"/>
        <v>2</v>
      </c>
      <c r="AL66" s="294">
        <f t="shared" si="61"/>
        <v>0.87187500000000018</v>
      </c>
      <c r="AM66" s="313">
        <f t="shared" si="62"/>
        <v>1.1281250000000003</v>
      </c>
      <c r="AP66" s="314">
        <f t="shared" si="63"/>
        <v>2.3639943991526775</v>
      </c>
      <c r="AQ66" s="294">
        <f t="shared" si="64"/>
        <v>-5.2868884326099048E-2</v>
      </c>
      <c r="AR66" s="315">
        <f t="shared" si="65"/>
        <v>0.9995858985271564</v>
      </c>
      <c r="AS66" s="315">
        <f t="shared" si="66"/>
        <v>0.47019969388577704</v>
      </c>
      <c r="AT66" s="316">
        <f t="shared" si="67"/>
        <v>0.46978559241293349</v>
      </c>
      <c r="AU66" s="316">
        <f t="shared" si="68"/>
        <v>4.1410147284359766E-4</v>
      </c>
      <c r="AV66" s="316">
        <f t="shared" si="68"/>
        <v>0.52980030611422291</v>
      </c>
      <c r="AW66" s="338">
        <f t="shared" si="68"/>
        <v>0.53021440758706651</v>
      </c>
    </row>
    <row r="67" spans="1:49" s="74" customFormat="1" x14ac:dyDescent="0.25">
      <c r="R67" s="210"/>
      <c r="T67" s="89"/>
      <c r="U67" s="89"/>
      <c r="X67" s="96"/>
      <c r="Y67" s="317"/>
      <c r="Z67" s="294">
        <f t="shared" si="69"/>
        <v>1.0500000000000003</v>
      </c>
      <c r="AA67" s="294">
        <f t="shared" si="50"/>
        <v>1.0751633986928106</v>
      </c>
      <c r="AB67" s="294">
        <f t="shared" si="51"/>
        <v>2.5928210848176105</v>
      </c>
      <c r="AC67" s="294">
        <f t="shared" si="52"/>
        <v>-0.18126104848269048</v>
      </c>
      <c r="AD67" s="315">
        <f t="shared" si="53"/>
        <v>0.99987719894718152</v>
      </c>
      <c r="AE67" s="315">
        <f t="shared" si="54"/>
        <v>0.39884344896647811</v>
      </c>
      <c r="AF67" s="316">
        <f t="shared" si="55"/>
        <v>0.39872064791365958</v>
      </c>
      <c r="AG67" s="316">
        <f t="shared" si="56"/>
        <v>1.2280105281847753E-4</v>
      </c>
      <c r="AH67" s="316">
        <f t="shared" si="57"/>
        <v>0.60115655103352195</v>
      </c>
      <c r="AI67" s="316">
        <f t="shared" si="58"/>
        <v>0.60127935208634042</v>
      </c>
      <c r="AJ67" s="294">
        <f t="shared" si="59"/>
        <v>5.0000000000000266E-2</v>
      </c>
      <c r="AK67" s="294">
        <f t="shared" si="60"/>
        <v>2.0500000000000003</v>
      </c>
      <c r="AL67" s="294">
        <f t="shared" si="61"/>
        <v>0.92187500000000022</v>
      </c>
      <c r="AM67" s="313">
        <f t="shared" si="62"/>
        <v>1.1781250000000003</v>
      </c>
      <c r="AP67" s="314">
        <f t="shared" si="63"/>
        <v>2.4848375633266162</v>
      </c>
      <c r="AQ67" s="294">
        <f t="shared" si="64"/>
        <v>-0.17371204850003735</v>
      </c>
      <c r="AR67" s="315">
        <f t="shared" si="65"/>
        <v>0.99977936917604326</v>
      </c>
      <c r="AS67" s="315">
        <f t="shared" si="66"/>
        <v>0.40297042207307232</v>
      </c>
      <c r="AT67" s="316">
        <f t="shared" si="67"/>
        <v>0.40274979124911559</v>
      </c>
      <c r="AU67" s="316">
        <f t="shared" si="68"/>
        <v>2.2063082395673561E-4</v>
      </c>
      <c r="AV67" s="316">
        <f t="shared" si="68"/>
        <v>0.59702957792692768</v>
      </c>
      <c r="AW67" s="338">
        <f t="shared" si="68"/>
        <v>0.59725020875088441</v>
      </c>
    </row>
    <row r="68" spans="1:49" s="74" customFormat="1" x14ac:dyDescent="0.25">
      <c r="R68" s="210"/>
      <c r="T68" s="89"/>
      <c r="U68" s="89"/>
      <c r="X68" s="96"/>
      <c r="Y68" s="317"/>
      <c r="Z68" s="294">
        <f t="shared" si="69"/>
        <v>1.1000000000000003</v>
      </c>
      <c r="AA68" s="294">
        <f t="shared" si="50"/>
        <v>1.1274509803921573</v>
      </c>
      <c r="AB68" s="294">
        <f t="shared" si="51"/>
        <v>2.7189157272403519</v>
      </c>
      <c r="AC68" s="294">
        <f t="shared" si="52"/>
        <v>-0.30735569090543202</v>
      </c>
      <c r="AD68" s="315">
        <f t="shared" si="53"/>
        <v>0.99993975511297251</v>
      </c>
      <c r="AE68" s="315">
        <f t="shared" si="54"/>
        <v>0.3319022275415614</v>
      </c>
      <c r="AF68" s="316">
        <f t="shared" si="55"/>
        <v>0.33184198265453402</v>
      </c>
      <c r="AG68" s="316">
        <f t="shared" si="56"/>
        <v>6.0244887027494087E-5</v>
      </c>
      <c r="AH68" s="316">
        <f t="shared" si="57"/>
        <v>0.6680977724584386</v>
      </c>
      <c r="AI68" s="316">
        <f t="shared" si="58"/>
        <v>0.66815801734546598</v>
      </c>
      <c r="AJ68" s="294">
        <f t="shared" si="59"/>
        <v>0.10000000000000031</v>
      </c>
      <c r="AK68" s="294">
        <f t="shared" si="60"/>
        <v>2.1000000000000005</v>
      </c>
      <c r="AL68" s="294">
        <f t="shared" si="61"/>
        <v>0.97187500000000027</v>
      </c>
      <c r="AM68" s="313">
        <f t="shared" si="62"/>
        <v>1.2281250000000004</v>
      </c>
      <c r="AP68" s="314">
        <f t="shared" si="63"/>
        <v>2.6056807275005553</v>
      </c>
      <c r="AQ68" s="294">
        <f t="shared" si="64"/>
        <v>-0.29455521267397672</v>
      </c>
      <c r="AR68" s="315">
        <f t="shared" si="65"/>
        <v>0.9998856437518181</v>
      </c>
      <c r="AS68" s="315">
        <f t="shared" si="66"/>
        <v>0.33849868149147888</v>
      </c>
      <c r="AT68" s="316">
        <f t="shared" si="67"/>
        <v>0.33838432524329698</v>
      </c>
      <c r="AU68" s="316">
        <f t="shared" si="68"/>
        <v>1.143562481819016E-4</v>
      </c>
      <c r="AV68" s="316">
        <f t="shared" si="68"/>
        <v>0.66150131850852112</v>
      </c>
      <c r="AW68" s="338">
        <f t="shared" si="68"/>
        <v>0.66161567475670302</v>
      </c>
    </row>
    <row r="69" spans="1:49" s="74" customFormat="1" x14ac:dyDescent="0.25">
      <c r="R69" s="210"/>
      <c r="T69" s="89"/>
      <c r="U69" s="89"/>
      <c r="X69" s="96"/>
      <c r="Y69" s="318"/>
      <c r="Z69" s="319">
        <f t="shared" si="69"/>
        <v>1.1500000000000004</v>
      </c>
      <c r="AA69" s="319">
        <f t="shared" si="50"/>
        <v>1.1797385620915035</v>
      </c>
      <c r="AB69" s="319">
        <f t="shared" si="51"/>
        <v>2.8450103696630924</v>
      </c>
      <c r="AC69" s="319">
        <f t="shared" si="52"/>
        <v>-0.43345033332817251</v>
      </c>
      <c r="AD69" s="320">
        <f t="shared" si="53"/>
        <v>0.99997132439188985</v>
      </c>
      <c r="AE69" s="320">
        <f t="shared" si="54"/>
        <v>0.26994103292783028</v>
      </c>
      <c r="AF69" s="321">
        <f t="shared" si="55"/>
        <v>0.26991235731972019</v>
      </c>
      <c r="AG69" s="321">
        <f t="shared" si="56"/>
        <v>2.8675608110151352E-5</v>
      </c>
      <c r="AH69" s="321">
        <f t="shared" si="57"/>
        <v>0.73005896707216977</v>
      </c>
      <c r="AI69" s="321">
        <f t="shared" si="58"/>
        <v>0.73008764268027981</v>
      </c>
      <c r="AJ69" s="319">
        <f t="shared" si="59"/>
        <v>0.15000000000000036</v>
      </c>
      <c r="AK69" s="319">
        <f t="shared" si="60"/>
        <v>2.1500000000000004</v>
      </c>
      <c r="AL69" s="319">
        <f t="shared" si="61"/>
        <v>1.0218750000000003</v>
      </c>
      <c r="AM69" s="322">
        <f t="shared" si="62"/>
        <v>1.2781250000000004</v>
      </c>
      <c r="AP69" s="339">
        <f t="shared" si="63"/>
        <v>2.7265238916744936</v>
      </c>
      <c r="AQ69" s="319">
        <f t="shared" si="64"/>
        <v>-0.41539837684791503</v>
      </c>
      <c r="AR69" s="320">
        <f t="shared" si="65"/>
        <v>0.99994234464145615</v>
      </c>
      <c r="AS69" s="320">
        <f t="shared" si="66"/>
        <v>0.27844672608593046</v>
      </c>
      <c r="AT69" s="321">
        <f t="shared" si="67"/>
        <v>0.27838907072738661</v>
      </c>
      <c r="AU69" s="321">
        <f t="shared" si="68"/>
        <v>5.7655358543851065E-5</v>
      </c>
      <c r="AV69" s="321">
        <f t="shared" si="68"/>
        <v>0.72155327391406954</v>
      </c>
      <c r="AW69" s="340">
        <f t="shared" si="68"/>
        <v>0.72161092927261339</v>
      </c>
    </row>
  </sheetData>
  <mergeCells count="6">
    <mergeCell ref="AG13:AH13"/>
    <mergeCell ref="W1:X1"/>
    <mergeCell ref="R1:U1"/>
    <mergeCell ref="J2:K2"/>
    <mergeCell ref="L2:M2"/>
    <mergeCell ref="W2:X2"/>
  </mergeCells>
  <hyperlinks>
    <hyperlink ref="V11" location="Notes!A193" display="Notes!A193"/>
    <hyperlink ref="B7" location="Notes!A189" display="Notes!A189"/>
  </hyperlinks>
  <printOptions horizontalCentered="1"/>
  <pageMargins left="0.5" right="0.5" top="0.45" bottom="0.55000000000000004" header="0.3" footer="0.4"/>
  <pageSetup scale="70" orientation="landscape" r:id="rId1"/>
  <headerFooter alignWithMargins="0">
    <oddHeader xml:space="preserve">&amp;CSpreadsheet by Agilent Technologies&amp;R </oddHeader>
    <oddFooter>&amp;L&amp;F tab &amp;A page &amp;P of &amp;N&amp;RPrinted &amp;T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130</vt:i4>
      </vt:variant>
    </vt:vector>
  </HeadingPairs>
  <TitlesOfParts>
    <vt:vector size="142" baseType="lpstr">
      <vt:lpstr>Notes</vt:lpstr>
      <vt:lpstr>850S62_160</vt:lpstr>
      <vt:lpstr>850S62_200</vt:lpstr>
      <vt:lpstr>850S50_400</vt:lpstr>
      <vt:lpstr>850S50_500</vt:lpstr>
      <vt:lpstr>850S2000</vt:lpstr>
      <vt:lpstr>Inputs</vt:lpstr>
      <vt:lpstr>LX4_62MMF</vt:lpstr>
      <vt:lpstr>LX4_SMF</vt:lpstr>
      <vt:lpstr>1310S</vt:lpstr>
      <vt:lpstr>1550S30km</vt:lpstr>
      <vt:lpstr>1550S40km</vt:lpstr>
      <vt:lpstr>'1550S30km'!B_1</vt:lpstr>
      <vt:lpstr>'1550S40km'!B_1</vt:lpstr>
      <vt:lpstr>'850S2000'!B_1</vt:lpstr>
      <vt:lpstr>'850S50_400'!B_1</vt:lpstr>
      <vt:lpstr>'850S50_500'!B_1</vt:lpstr>
      <vt:lpstr>'850S62_160'!B_1</vt:lpstr>
      <vt:lpstr>'850S62_200'!B_1</vt:lpstr>
      <vt:lpstr>LX4_62MMF!B_1</vt:lpstr>
      <vt:lpstr>LX4_SMF!B_1</vt:lpstr>
      <vt:lpstr>B_1</vt:lpstr>
      <vt:lpstr>'1550S30km'!C_1</vt:lpstr>
      <vt:lpstr>'1550S40km'!C_1</vt:lpstr>
      <vt:lpstr>'850S2000'!C_1</vt:lpstr>
      <vt:lpstr>'850S50_400'!C_1</vt:lpstr>
      <vt:lpstr>'850S50_500'!C_1</vt:lpstr>
      <vt:lpstr>'850S62_160'!C_1</vt:lpstr>
      <vt:lpstr>'850S62_200'!C_1</vt:lpstr>
      <vt:lpstr>LX4_62MMF!C_1</vt:lpstr>
      <vt:lpstr>LX4_SMF!C_1</vt:lpstr>
      <vt:lpstr>C_1</vt:lpstr>
      <vt:lpstr>'1550S30km'!ER</vt:lpstr>
      <vt:lpstr>'1550S40km'!ER</vt:lpstr>
      <vt:lpstr>'850S2000'!ER</vt:lpstr>
      <vt:lpstr>'850S50_400'!ER</vt:lpstr>
      <vt:lpstr>'850S50_500'!ER</vt:lpstr>
      <vt:lpstr>'850S62_160'!ER</vt:lpstr>
      <vt:lpstr>'850S62_200'!ER</vt:lpstr>
      <vt:lpstr>LX4_62MMF!ER</vt:lpstr>
      <vt:lpstr>LX4_SMF!ER</vt:lpstr>
      <vt:lpstr>ER</vt:lpstr>
      <vt:lpstr>'1550S30km'!kRIN</vt:lpstr>
      <vt:lpstr>'1550S40km'!kRIN</vt:lpstr>
      <vt:lpstr>'850S2000'!kRIN</vt:lpstr>
      <vt:lpstr>'850S50_400'!kRIN</vt:lpstr>
      <vt:lpstr>'850S50_500'!kRIN</vt:lpstr>
      <vt:lpstr>'850S62_160'!kRIN</vt:lpstr>
      <vt:lpstr>'850S62_200'!kRIN</vt:lpstr>
      <vt:lpstr>LX4_62MMF!kRIN</vt:lpstr>
      <vt:lpstr>LX4_SMF!kRIN</vt:lpstr>
      <vt:lpstr>kRIN</vt:lpstr>
      <vt:lpstr>'1550S30km'!Pmn</vt:lpstr>
      <vt:lpstr>'1550S40km'!Pmn</vt:lpstr>
      <vt:lpstr>'850S2000'!Pmn</vt:lpstr>
      <vt:lpstr>'850S50_400'!Pmn</vt:lpstr>
      <vt:lpstr>'850S50_500'!Pmn</vt:lpstr>
      <vt:lpstr>'850S62_160'!Pmn</vt:lpstr>
      <vt:lpstr>'850S62_200'!Pmn</vt:lpstr>
      <vt:lpstr>LX4_62MMF!Pmn</vt:lpstr>
      <vt:lpstr>LX4_SMF!Pmn</vt:lpstr>
      <vt:lpstr>Pmn</vt:lpstr>
      <vt:lpstr>'1310S'!Print_Area</vt:lpstr>
      <vt:lpstr>'1550S30km'!Print_Area</vt:lpstr>
      <vt:lpstr>'1550S40km'!Print_Area</vt:lpstr>
      <vt:lpstr>'850S2000'!Print_Area</vt:lpstr>
      <vt:lpstr>'850S50_400'!Print_Area</vt:lpstr>
      <vt:lpstr>'850S50_500'!Print_Area</vt:lpstr>
      <vt:lpstr>'850S62_160'!Print_Area</vt:lpstr>
      <vt:lpstr>'850S62_200'!Print_Area</vt:lpstr>
      <vt:lpstr>LX4_62MMF!Print_Area</vt:lpstr>
      <vt:lpstr>LX4_SMF!Print_Area</vt:lpstr>
      <vt:lpstr>'1310S'!PRINT_AREA_MI</vt:lpstr>
      <vt:lpstr>'1550S30km'!PRINT_AREA_MI</vt:lpstr>
      <vt:lpstr>'1550S40km'!PRINT_AREA_MI</vt:lpstr>
      <vt:lpstr>'850S2000'!PRINT_AREA_MI</vt:lpstr>
      <vt:lpstr>'850S50_400'!PRINT_AREA_MI</vt:lpstr>
      <vt:lpstr>'850S50_500'!PRINT_AREA_MI</vt:lpstr>
      <vt:lpstr>'850S62_160'!PRINT_AREA_MI</vt:lpstr>
      <vt:lpstr>'850S62_200'!PRINT_AREA_MI</vt:lpstr>
      <vt:lpstr>LX4_62MMF!PRINT_AREA_MI</vt:lpstr>
      <vt:lpstr>LX4_SMF!PRINT_AREA_MI</vt:lpstr>
      <vt:lpstr>'1550S30km'!Q</vt:lpstr>
      <vt:lpstr>'1550S40km'!Q</vt:lpstr>
      <vt:lpstr>'850S2000'!Q</vt:lpstr>
      <vt:lpstr>'850S50_400'!Q</vt:lpstr>
      <vt:lpstr>'850S50_500'!Q</vt:lpstr>
      <vt:lpstr>'850S62_160'!Q</vt:lpstr>
      <vt:lpstr>'850S62_200'!Q</vt:lpstr>
      <vt:lpstr>LX4_62MMF!Q</vt:lpstr>
      <vt:lpstr>LX4_SMF!Q</vt:lpstr>
      <vt:lpstr>Q</vt:lpstr>
      <vt:lpstr>'1550S30km'!SD_blw</vt:lpstr>
      <vt:lpstr>'1550S40km'!SD_blw</vt:lpstr>
      <vt:lpstr>'850S2000'!SD_blw</vt:lpstr>
      <vt:lpstr>'850S50_400'!SD_blw</vt:lpstr>
      <vt:lpstr>'850S50_500'!SD_blw</vt:lpstr>
      <vt:lpstr>'850S62_160'!SD_blw</vt:lpstr>
      <vt:lpstr>'850S62_200'!SD_blw</vt:lpstr>
      <vt:lpstr>LX4_62MMF!SD_blw</vt:lpstr>
      <vt:lpstr>LX4_SMF!SD_blw</vt:lpstr>
      <vt:lpstr>SD_blw</vt:lpstr>
      <vt:lpstr>'1550S30km'!Tb_eff</vt:lpstr>
      <vt:lpstr>'1550S40km'!Tb_eff</vt:lpstr>
      <vt:lpstr>'850S2000'!Tb_eff</vt:lpstr>
      <vt:lpstr>'850S50_400'!Tb_eff</vt:lpstr>
      <vt:lpstr>'850S50_500'!Tb_eff</vt:lpstr>
      <vt:lpstr>'850S62_160'!Tb_eff</vt:lpstr>
      <vt:lpstr>'850S62_200'!Tb_eff</vt:lpstr>
      <vt:lpstr>LX4_62MMF!Tb_eff</vt:lpstr>
      <vt:lpstr>LX4_SMF!Tb_eff</vt:lpstr>
      <vt:lpstr>Tb_eff</vt:lpstr>
      <vt:lpstr>'1550S30km'!Uc</vt:lpstr>
      <vt:lpstr>'1550S40km'!Uc</vt:lpstr>
      <vt:lpstr>'850S2000'!Uc</vt:lpstr>
      <vt:lpstr>'850S50_400'!Uc</vt:lpstr>
      <vt:lpstr>'850S50_500'!Uc</vt:lpstr>
      <vt:lpstr>'850S62_160'!Uc</vt:lpstr>
      <vt:lpstr>'850S62_200'!Uc</vt:lpstr>
      <vt:lpstr>LX4_62MMF!Uc</vt:lpstr>
      <vt:lpstr>LX4_SMF!Uc</vt:lpstr>
      <vt:lpstr>Uc</vt:lpstr>
      <vt:lpstr>'1550S30km'!Uo</vt:lpstr>
      <vt:lpstr>'1550S40km'!Uo</vt:lpstr>
      <vt:lpstr>'850S2000'!Uo</vt:lpstr>
      <vt:lpstr>'850S50_400'!Uo</vt:lpstr>
      <vt:lpstr>'850S50_500'!Uo</vt:lpstr>
      <vt:lpstr>'850S62_160'!Uo</vt:lpstr>
      <vt:lpstr>'850S62_200'!Uo</vt:lpstr>
      <vt:lpstr>LX4_62MMF!Uo</vt:lpstr>
      <vt:lpstr>LX4_SMF!Uo</vt:lpstr>
      <vt:lpstr>Uo</vt:lpstr>
      <vt:lpstr>'1550S30km'!Vmn</vt:lpstr>
      <vt:lpstr>'1550S40km'!Vmn</vt:lpstr>
      <vt:lpstr>'850S2000'!Vmn</vt:lpstr>
      <vt:lpstr>'850S50_400'!Vmn</vt:lpstr>
      <vt:lpstr>'850S50_500'!Vmn</vt:lpstr>
      <vt:lpstr>'850S62_160'!Vmn</vt:lpstr>
      <vt:lpstr>'850S62_200'!Vmn</vt:lpstr>
      <vt:lpstr>LX4_62MMF!Vmn</vt:lpstr>
      <vt:lpstr>LX4_SMF!Vmn</vt:lpstr>
      <vt:lpstr>Vmn</vt:lpstr>
    </vt:vector>
  </TitlesOfParts>
  <Company>Agilent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Dawe</dc:creator>
  <cp:lastModifiedBy>liam altarac</cp:lastModifiedBy>
  <cp:lastPrinted>2001-11-01T11:36:10Z</cp:lastPrinted>
  <dcterms:created xsi:type="dcterms:W3CDTF">2001-06-19T09:45:59Z</dcterms:created>
  <dcterms:modified xsi:type="dcterms:W3CDTF">2021-06-18T16:23:32Z</dcterms:modified>
</cp:coreProperties>
</file>