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tables/table7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3.xml" ContentType="application/vnd.openxmlformats-officedocument.spreadsheetml.table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elenllatas/Desktop/"/>
    </mc:Choice>
  </mc:AlternateContent>
  <xr:revisionPtr revIDLastSave="0" documentId="13_ncr:1_{59616A38-B3B4-7F47-90B5-1B14FBEBEE2F}" xr6:coauthVersionLast="47" xr6:coauthVersionMax="47" xr10:uidLastSave="{00000000-0000-0000-0000-000000000000}"/>
  <bookViews>
    <workbookView xWindow="760" yWindow="500" windowWidth="28040" windowHeight="15880" activeTab="1" xr2:uid="{0141BEAE-6E08-2B4D-A17D-3A41BA1DC77A}"/>
  </bookViews>
  <sheets>
    <sheet name="PQ_ExportacionesD8" sheetId="24" state="hidden" r:id="rId1"/>
    <sheet name="D7_ResumenEscenarios" sheetId="22" r:id="rId2"/>
    <sheet name="D7_Solver" sheetId="21" r:id="rId3"/>
    <sheet name="D6_FormatoValidación" sheetId="20" r:id="rId4"/>
    <sheet name="D5_Dashboard" sheetId="19" r:id="rId5"/>
    <sheet name="D4_Funciones" sheetId="18" r:id="rId6"/>
    <sheet name="D3_TablaDinamica_Pro" sheetId="17" r:id="rId7"/>
    <sheet name="D3_TablaPQ_Pro" sheetId="15" r:id="rId8"/>
    <sheet name="D3_TablaDinamica" sheetId="14" r:id="rId9"/>
    <sheet name="D3_TablaPQ" sheetId="13" r:id="rId10"/>
    <sheet name="D2_PQ_Combinada" sheetId="12" r:id="rId11"/>
    <sheet name="D2_Exportaciones2023" sheetId="8" r:id="rId12"/>
    <sheet name="D2_Exportaciones2021" sheetId="7" r:id="rId13"/>
    <sheet name="D2_PQ_Exportaciones" sheetId="6" r:id="rId14"/>
    <sheet name="D2_TablaOriginal" sheetId="4" r:id="rId15"/>
    <sheet name="D1_ExportacionesVino" sheetId="3" r:id="rId16"/>
    <sheet name="D1" sheetId="1" r:id="rId17"/>
  </sheets>
  <definedNames>
    <definedName name="DatosExternos_1" localSheetId="15" hidden="1">D1_ExportacionesVino!$A$1:$C$4</definedName>
    <definedName name="DatosExternos_1" localSheetId="10" hidden="1">D2_PQ_Combinada!$A$1:$D$13</definedName>
    <definedName name="DatosExternos_1" localSheetId="13" hidden="1">D2_PQ_Exportaciones!$A$1:$D$6</definedName>
    <definedName name="DatosExternos_1" localSheetId="9" hidden="1">D3_TablaPQ!$A$1:$D$6</definedName>
    <definedName name="DatosExternos_1" localSheetId="0" hidden="1">PQ_ExportacionesD8!$A$1:$E$7</definedName>
    <definedName name="SegmentaciónDeDatos_Año">#N/A</definedName>
    <definedName name="SegmentaciónDeDatos_Año1">#N/A</definedName>
    <definedName name="SegmentaciónDeDatos_Producto">#N/A</definedName>
    <definedName name="SegmentaciónDeDatos_Producto1">#N/A</definedName>
    <definedName name="solver_adj" localSheetId="2" hidden="1">D7_Solver!$F$4:$F$8</definedName>
    <definedName name="solver_cvg" localSheetId="2" hidden="1">"""""""0,0001"""""""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D7_Solver!$F$4:$F$8</definedName>
    <definedName name="solver_lhs2" localSheetId="2" hidden="1">D7_Solver!$H$13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"""""""0,075"""""""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D7_Solver!$H$10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hs1" localSheetId="2" hidden="1">0</definedName>
    <definedName name="solver_rhs2" localSheetId="2" hidden="1">D7_Solver!$H$12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 calcMode="manual"/>
  <pivotCaches>
    <pivotCache cacheId="4" r:id="rId18"/>
    <pivotCache cacheId="5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1" l="1"/>
  <c r="G4" i="21"/>
  <c r="G5" i="21"/>
  <c r="G6" i="21"/>
  <c r="G7" i="21"/>
  <c r="G8" i="21"/>
  <c r="C13" i="19"/>
  <c r="C12" i="19"/>
  <c r="C11" i="19"/>
  <c r="C10" i="19"/>
  <c r="G26" i="19"/>
  <c r="E26" i="19"/>
  <c r="F26" i="19" s="1"/>
  <c r="D26" i="19"/>
  <c r="G25" i="19"/>
  <c r="E25" i="19"/>
  <c r="F25" i="19" s="1"/>
  <c r="D25" i="19"/>
  <c r="G24" i="19"/>
  <c r="E24" i="19"/>
  <c r="F24" i="19" s="1"/>
  <c r="D24" i="19"/>
  <c r="G23" i="19"/>
  <c r="E23" i="19"/>
  <c r="F23" i="19" s="1"/>
  <c r="D23" i="19"/>
  <c r="G22" i="19"/>
  <c r="E22" i="19"/>
  <c r="F22" i="19" s="1"/>
  <c r="D22" i="19"/>
  <c r="G21" i="19"/>
  <c r="E21" i="19"/>
  <c r="F21" i="19" s="1"/>
  <c r="D21" i="19"/>
  <c r="G20" i="19"/>
  <c r="E20" i="19"/>
  <c r="F20" i="19" s="1"/>
  <c r="D20" i="19"/>
  <c r="G19" i="19"/>
  <c r="E19" i="19"/>
  <c r="F19" i="19" s="1"/>
  <c r="D19" i="19"/>
  <c r="Q34" i="18"/>
  <c r="Q33" i="18"/>
  <c r="O18" i="18"/>
  <c r="O19" i="18"/>
  <c r="O20" i="18"/>
  <c r="O21" i="18"/>
  <c r="O22" i="18"/>
  <c r="O23" i="18"/>
  <c r="O24" i="18"/>
  <c r="O17" i="18"/>
  <c r="N18" i="18"/>
  <c r="N19" i="18"/>
  <c r="N20" i="18"/>
  <c r="N21" i="18"/>
  <c r="N22" i="18"/>
  <c r="N23" i="18"/>
  <c r="N24" i="18"/>
  <c r="N17" i="18"/>
  <c r="M18" i="18"/>
  <c r="M19" i="18"/>
  <c r="M20" i="18"/>
  <c r="M21" i="18"/>
  <c r="M22" i="18"/>
  <c r="M23" i="18"/>
  <c r="M24" i="18"/>
  <c r="M17" i="18"/>
  <c r="L19" i="18"/>
  <c r="L18" i="18"/>
  <c r="L17" i="18"/>
  <c r="L20" i="18"/>
  <c r="L21" i="18"/>
  <c r="L22" i="18"/>
  <c r="L23" i="18"/>
  <c r="L24" i="18"/>
  <c r="K6" i="18"/>
  <c r="L5" i="18"/>
  <c r="K5" i="18"/>
  <c r="K4" i="18"/>
  <c r="K3" i="18"/>
  <c r="K2" i="18"/>
  <c r="H10" i="2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6699FD-3A11-6A48-8FC6-15ADE4533038}" keepAlive="1" name="Consulta - D1_ExportacionesVino(1)" description="Conexión a la consulta 'D1_ExportacionesVino' en el libro." type="5" refreshedVersion="8" background="1" saveData="1">
    <dbPr connection="Provider=Microsoft.Mashup.OleDb.1;Data Source=$Workbook$;Location=D1_ExportacionesVino;Extended Properties=&quot;&quot;" command="SELECT * FROM [D1_ExportacionesVino]"/>
  </connection>
  <connection id="2" xr16:uid="{F846CDF4-A0CD-9944-95EB-F15BB6ED62C4}" keepAlive="1" name="Consulta - D2_Exportaciones2023" description="Conexión a la consulta 'D2_Exportaciones2023' en el libro." type="5" refreshedVersion="0" background="1">
    <dbPr connection="Provider=Microsoft.Mashup.OleDb.1;Data Source=$Workbook$;Location=D2_Exportaciones2023;Extended Properties=&quot;&quot;" command="SELECT * FROM [D2_Exportaciones2023]"/>
  </connection>
  <connection id="3" xr16:uid="{1307B357-0492-3F43-96F1-E13F6DA9B045}" keepAlive="1" name="Consulta - D2_ExportacionesCombinadas" description="Conexión a la consulta 'D2_ExportacionesCombinadas' en el libro." type="5" refreshedVersion="8" background="1" saveData="1">
    <dbPr connection="Provider=Microsoft.Mashup.OleDb.1;Data Source=$Workbook$;Location=D2_ExportacionesCombinadas;Extended Properties=&quot;&quot;" command="SELECT * FROM [D2_ExportacionesCombinadas]"/>
  </connection>
  <connection id="4" xr16:uid="{77CB0030-B166-4D47-80FF-5CF468DF480B}" keepAlive="1" name="Consulta - D2_PQ_Combinada" description="Conexión a la consulta 'D2_PQ_Combinada' en el libro." type="5" refreshedVersion="8" background="1" saveData="1">
    <dbPr connection="Provider=Microsoft.Mashup.OleDb.1;Data Source=$Workbook$;Location=D2_PQ_Combinada;Extended Properties=&quot;&quot;" command="SELECT * FROM [D2_PQ_Combinada]"/>
  </connection>
  <connection id="5" xr16:uid="{A4916322-57AB-0240-B3A2-37354E43E61E}" keepAlive="1" name="Consulta - D2_PQ_Exportaciones" description="Conexión a la consulta 'D2_PQ_Exportaciones' en el libro." type="5" refreshedVersion="8" background="1" saveData="1">
    <dbPr connection="Provider=Microsoft.Mashup.OleDb.1;Data Source=$Workbook$;Location=D2_PQ_Exportaciones;Extended Properties=&quot;&quot;" command="SELECT * FROM [D2_PQ_Exportaciones]"/>
  </connection>
  <connection id="6" xr16:uid="{A8C5B2C5-CE1F-C449-865D-9CA6BAD234CC}" keepAlive="1" name="Consulta - D2_PQ_Exportaciones (2)" description="Conexión a la consulta 'D2_PQ_Exportaciones (2)' en el libro." type="5" refreshedVersion="8" background="1" saveData="1">
    <dbPr connection="Provider=Microsoft.Mashup.OleDb.1;Data Source=$Workbook$;Location=&quot;D2_PQ_Exportaciones (2)&quot;;Extended Properties=&quot;&quot;" command="SELECT * FROM [D2_PQ_Exportaciones (2)]"/>
  </connection>
  <connection id="7" xr16:uid="{452A39FF-8FDA-EF49-B837-5C8C54B994F3}" keepAlive="1" name="Consulta - D2_PQ_Exportaciones (3)" description="Conexión a la consulta 'D2_PQ_Exportaciones (3)' en el libro." type="5" refreshedVersion="8" background="1" saveData="1">
    <dbPr connection="Provider=Microsoft.Mashup.OleDb.1;Data Source=$Workbook$;Location=&quot;D2_PQ_Exportaciones (3)&quot;;Extended Properties=&quot;&quot;" command="SELECT * FROM [D2_PQ_Exportaciones (3)]"/>
  </connection>
</connections>
</file>

<file path=xl/sharedStrings.xml><?xml version="1.0" encoding="utf-8"?>
<sst xmlns="http://schemas.openxmlformats.org/spreadsheetml/2006/main" count="384" uniqueCount="96">
  <si>
    <t>País</t>
  </si>
  <si>
    <t>Producto</t>
  </si>
  <si>
    <t>Valor (USD)</t>
  </si>
  <si>
    <t>Año</t>
  </si>
  <si>
    <t>Alemania</t>
  </si>
  <si>
    <t>Vino</t>
  </si>
  <si>
    <t>Francia</t>
  </si>
  <si>
    <t>EE.UU.</t>
  </si>
  <si>
    <t>Japón</t>
  </si>
  <si>
    <t>Canadá</t>
  </si>
  <si>
    <t>España</t>
  </si>
  <si>
    <t>Aceite</t>
  </si>
  <si>
    <t>Italia</t>
  </si>
  <si>
    <t>Cerámica</t>
  </si>
  <si>
    <t>Portugal</t>
  </si>
  <si>
    <t>Reino Unido</t>
  </si>
  <si>
    <t>Chile</t>
  </si>
  <si>
    <t>México</t>
  </si>
  <si>
    <t>Cerveza</t>
  </si>
  <si>
    <t>Queso</t>
  </si>
  <si>
    <t>Etiquetas de fila</t>
  </si>
  <si>
    <t>Total general</t>
  </si>
  <si>
    <t>Etiquetas de columna</t>
  </si>
  <si>
    <t>Suma de Valor (USD)</t>
  </si>
  <si>
    <t>Total Suma de Valor (USD)</t>
  </si>
  <si>
    <t>Total Suma de Valor con IVA</t>
  </si>
  <si>
    <t>Suma de Valor con IVA</t>
  </si>
  <si>
    <t>Jamón</t>
  </si>
  <si>
    <t>Ingresos netos</t>
  </si>
  <si>
    <t>Total Ingresos netos</t>
  </si>
  <si>
    <t>Total Suma Ingresos con IVA</t>
  </si>
  <si>
    <t>Suma Ingresos con IVA</t>
  </si>
  <si>
    <t>Tabla usada para la explicación (parte 1)</t>
  </si>
  <si>
    <t>Tabla usada para el ejercicio (parte 2)</t>
  </si>
  <si>
    <t>Total (USD)</t>
  </si>
  <si>
    <t>Promedio (USD)</t>
  </si>
  <si>
    <t>Etiqueta</t>
  </si>
  <si>
    <t>Esto ya es del día 5</t>
  </si>
  <si>
    <t>(A partir de esta columna)</t>
  </si>
  <si>
    <t>Producto - País</t>
  </si>
  <si>
    <t>Alto</t>
  </si>
  <si>
    <t>Bajo</t>
  </si>
  <si>
    <t>Total</t>
  </si>
  <si>
    <t>KPI</t>
  </si>
  <si>
    <t>Valor</t>
  </si>
  <si>
    <t>Mayor Total USD</t>
  </si>
  <si>
    <t>Menor Promedio USD</t>
  </si>
  <si>
    <t>Nº de Altos</t>
  </si>
  <si>
    <t>Nº de Bajos</t>
  </si>
  <si>
    <t>KPIs de Exportaciones</t>
  </si>
  <si>
    <t>Tabla resumen</t>
  </si>
  <si>
    <t xml:space="preserve">Tabla Resumen + Gráficos de la hoja D4_ funciones </t>
  </si>
  <si>
    <t>Dashboard de Exportaciones</t>
  </si>
  <si>
    <t>Unidades</t>
  </si>
  <si>
    <t>Entregado</t>
  </si>
  <si>
    <t>Días de retraso</t>
  </si>
  <si>
    <t>Sí</t>
  </si>
  <si>
    <t>No</t>
  </si>
  <si>
    <t>Miel</t>
  </si>
  <si>
    <t>Instrucciones de uso – Control logístico</t>
  </si>
  <si>
    <r>
      <t>Columna “Entregado”</t>
    </r>
    <r>
      <rPr>
        <sz val="12"/>
        <color rgb="FF000000"/>
        <rFont val="Aptos Narrow"/>
        <family val="2"/>
        <scheme val="minor"/>
      </rPr>
      <t>: selecciona “Sí” o “No” desde la lista desplegable.</t>
    </r>
  </si>
  <si>
    <r>
      <t>Columna “Unidades”</t>
    </r>
    <r>
      <rPr>
        <sz val="12"/>
        <color rgb="FF000000"/>
        <rFont val="Aptos Narrow"/>
        <family val="2"/>
        <scheme val="minor"/>
      </rPr>
      <t>: solo se permiten números enteros mayores que cero.</t>
    </r>
  </si>
  <si>
    <r>
      <t>Columna “Días de retraso”</t>
    </r>
    <r>
      <rPr>
        <sz val="12"/>
        <color rgb="FF000000"/>
        <rFont val="Aptos Narrow"/>
        <family val="2"/>
        <scheme val="minor"/>
      </rPr>
      <t>: solo se aceptan números del 0 al 10.</t>
    </r>
  </si>
  <si>
    <t>Las celdas se marcarán en color automáticamente si hay retrasos, pedidos grandes o entregas pendientes.</t>
  </si>
  <si>
    <t>⚠️ Si introduces un valor no válido, recibirás un mensaje de error con instrucciones.</t>
  </si>
  <si>
    <t>Precio unitario (€)</t>
  </si>
  <si>
    <t>Beneficio unitario (€)</t>
  </si>
  <si>
    <t>Unidades a exportar</t>
  </si>
  <si>
    <t>Esta tabla simula cuánto ganas por unidad vendida según el país.</t>
  </si>
  <si>
    <t>Beneficio por país (€)</t>
  </si>
  <si>
    <t>Beneficio Total</t>
  </si>
  <si>
    <t>suma de todos los beneficios generados por país según las unidades exportadas.</t>
  </si>
  <si>
    <t>Total unidades disponibles</t>
  </si>
  <si>
    <t>límite de unidades disponibles</t>
  </si>
  <si>
    <t>total de unidades exportadas</t>
  </si>
  <si>
    <t>Total exportado</t>
  </si>
  <si>
    <t>$F$4</t>
  </si>
  <si>
    <t>$F$5</t>
  </si>
  <si>
    <t>$F$6</t>
  </si>
  <si>
    <t>$F$7</t>
  </si>
  <si>
    <t>$F$8</t>
  </si>
  <si>
    <t>$H$10</t>
  </si>
  <si>
    <t>Base Solver</t>
  </si>
  <si>
    <t>Creado por Belén Llatas Beny el 5/6/2025</t>
  </si>
  <si>
    <t>Límite 800</t>
  </si>
  <si>
    <t>Solo Europa</t>
  </si>
  <si>
    <t>Creado por Belén Llatas Beny el 5/6/2025
Modificado por Belén Llatas Beny el 5/6/2025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</si>
  <si>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</si>
  <si>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</si>
  <si>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</si>
  <si>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</si>
  <si>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</si>
  <si>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</si>
  <si>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</si>
  <si>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Precio Unitario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</si>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</sst>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0"/>
      <color rgb="FF000000"/>
      <name val="Arial Unicode MS"/>
      <family val="2"/>
    </font>
    <font>
      <sz val="10.199999999999999"/>
      <color theme="1"/>
      <name val="Menlo"/>
      <family val="2"/>
    </font>
    <font>
      <sz val="12"/>
      <color theme="1"/>
      <name val="Aptos Narrow"/>
      <family val="2"/>
      <scheme val="minor"/>
    </font>
    <font>
      <b/>
      <sz val="14"/>
      <color rgb="FF000000"/>
      <name val="-webkit-standard"/>
    </font>
    <font>
      <b/>
      <sz val="26"/>
      <color theme="1"/>
      <name val="Aptos Narrow"/>
      <scheme val="minor"/>
    </font>
    <font>
      <b/>
      <sz val="13.5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indexed="9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2"/>
      <color indexed="18"/>
      <name val="Aptos Narrow"/>
      <family val="2"/>
      <scheme val="minor"/>
    </font>
    <font>
      <sz val="11"/>
      <color indexed="9"/>
      <name val="Aptos Narrow"/>
      <family val="2"/>
      <scheme val="minor"/>
    </font>
    <font>
      <sz val="8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6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6" fillId="5" borderId="0" xfId="0" applyFont="1" applyFill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/>
    <xf numFmtId="1" fontId="4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6" xfId="0" applyBorder="1"/>
    <xf numFmtId="0" fontId="12" fillId="7" borderId="2" xfId="0" applyFont="1" applyFill="1" applyBorder="1" applyAlignment="1">
      <alignment horizontal="left"/>
    </xf>
    <xf numFmtId="0" fontId="12" fillId="7" borderId="5" xfId="0" applyFont="1" applyFill="1" applyBorder="1" applyAlignment="1">
      <alignment horizontal="left"/>
    </xf>
    <xf numFmtId="0" fontId="0" fillId="0" borderId="12" xfId="0" applyBorder="1"/>
    <xf numFmtId="0" fontId="13" fillId="8" borderId="0" xfId="0" applyFont="1" applyFill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3" fillId="8" borderId="6" xfId="0" applyFont="1" applyFill="1" applyBorder="1" applyAlignment="1">
      <alignment horizontal="left"/>
    </xf>
    <xf numFmtId="0" fontId="15" fillId="7" borderId="5" xfId="0" applyFont="1" applyFill="1" applyBorder="1" applyAlignment="1">
      <alignment horizontal="right"/>
    </xf>
    <xf numFmtId="0" fontId="15" fillId="7" borderId="2" xfId="0" applyFont="1" applyFill="1" applyBorder="1" applyAlignment="1">
      <alignment horizontal="right"/>
    </xf>
    <xf numFmtId="1" fontId="0" fillId="9" borderId="0" xfId="0" applyNumberFormat="1" applyFill="1"/>
    <xf numFmtId="0" fontId="16" fillId="0" borderId="0" xfId="0" applyFont="1" applyAlignment="1">
      <alignment vertical="top" wrapText="1"/>
    </xf>
    <xf numFmtId="0" fontId="4" fillId="6" borderId="3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4" fillId="6" borderId="11" xfId="0" applyFont="1" applyFill="1" applyBorder="1" applyAlignment="1">
      <alignment horizontal="left" vertical="top"/>
    </xf>
    <xf numFmtId="0" fontId="10" fillId="6" borderId="7" xfId="0" applyFont="1" applyFill="1" applyBorder="1" applyAlignment="1">
      <alignment horizontal="left" vertical="top"/>
    </xf>
    <xf numFmtId="0" fontId="10" fillId="6" borderId="8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3" fillId="6" borderId="10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10" xfId="0" applyFont="1" applyFill="1" applyBorder="1" applyAlignment="1">
      <alignment horizontal="left" vertical="top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9">
    <dxf>
      <numFmt numFmtId="19" formatCode="d/m/yy"/>
    </dxf>
    <dxf>
      <numFmt numFmtId="0" formatCode="General"/>
    </dxf>
    <dxf>
      <numFmt numFmtId="0" formatCode="General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EA410C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A410C"/>
      <color rgb="FFEAD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Total USD por Producto y País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D4_Funciones!$L$16</c:f>
              <c:strCache>
                <c:ptCount val="1"/>
                <c:pt idx="0">
                  <c:v>Total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D4_Funciones!$O$17:$O$24</c:f>
              <c:strCache>
                <c:ptCount val="8"/>
                <c:pt idx="0">
                  <c:v>Aceite - España</c:v>
                </c:pt>
                <c:pt idx="1">
                  <c:v>Vino - Francia</c:v>
                </c:pt>
                <c:pt idx="2">
                  <c:v>Vino - Italia</c:v>
                </c:pt>
                <c:pt idx="3">
                  <c:v>Cerámica - Alemania</c:v>
                </c:pt>
                <c:pt idx="4">
                  <c:v>Vino - EE.UU.</c:v>
                </c:pt>
                <c:pt idx="5">
                  <c:v>Cerveza - México</c:v>
                </c:pt>
                <c:pt idx="6">
                  <c:v>Queso - Francia</c:v>
                </c:pt>
                <c:pt idx="7">
                  <c:v>Vino - Portugal</c:v>
                </c:pt>
              </c:strCache>
            </c:strRef>
          </c:cat>
          <c:val>
            <c:numRef>
              <c:f>D4_Funciones!$L$17:$L$24</c:f>
              <c:numCache>
                <c:formatCode>General</c:formatCode>
                <c:ptCount val="8"/>
                <c:pt idx="0">
                  <c:v>51000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25000</c:v>
                </c:pt>
                <c:pt idx="5">
                  <c:v>13000</c:v>
                </c:pt>
                <c:pt idx="6">
                  <c:v>11000</c:v>
                </c:pt>
                <c:pt idx="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D-F342-95B1-E0479D36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987343"/>
        <c:axId val="1282015984"/>
      </c:barChart>
      <c:catAx>
        <c:axId val="106298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2015984"/>
        <c:crosses val="autoZero"/>
        <c:auto val="1"/>
        <c:lblAlgn val="ctr"/>
        <c:lblOffset val="100"/>
        <c:noMultiLvlLbl val="0"/>
      </c:catAx>
      <c:valAx>
        <c:axId val="12820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9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Distribución de etiquetas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D4_Funciones!$Q$32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6-F043-9ED8-A8F2C0CBA6C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6-F043-9ED8-A8F2C0CBA6C6}"/>
              </c:ext>
            </c:extLst>
          </c:dPt>
          <c:cat>
            <c:strRef>
              <c:f>D4_Funciones!$P$33:$P$34</c:f>
              <c:strCache>
                <c:ptCount val="2"/>
                <c:pt idx="0">
                  <c:v>Alto</c:v>
                </c:pt>
                <c:pt idx="1">
                  <c:v>Bajo</c:v>
                </c:pt>
              </c:strCache>
            </c:strRef>
          </c:cat>
          <c:val>
            <c:numRef>
              <c:f>D4_Funciones!$Q$33:$Q$34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F043-9ED8-A8F2C0CB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651215"/>
        <c:axId val="1062710815"/>
      </c:barChart>
      <c:catAx>
        <c:axId val="10576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710815"/>
        <c:crosses val="autoZero"/>
        <c:auto val="1"/>
        <c:lblAlgn val="ctr"/>
        <c:lblOffset val="100"/>
        <c:noMultiLvlLbl val="0"/>
      </c:catAx>
      <c:valAx>
        <c:axId val="10627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6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USD por País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5EA-AF45-93E8-6839113620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5EA-AF45-93E8-6839113620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5EA-AF45-93E8-6839113620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95EA-AF45-93E8-6839113620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95EA-AF45-93E8-6839113620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95EA-AF45-93E8-6839113620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95EA-AF45-93E8-6839113620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95EA-AF45-93E8-683911362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D4_Funciones!$K$17:$K$24</c:f>
              <c:strCache>
                <c:ptCount val="8"/>
                <c:pt idx="0">
                  <c:v>España</c:v>
                </c:pt>
                <c:pt idx="1">
                  <c:v>Francia</c:v>
                </c:pt>
                <c:pt idx="2">
                  <c:v>Italia</c:v>
                </c:pt>
                <c:pt idx="3">
                  <c:v>Alemania</c:v>
                </c:pt>
                <c:pt idx="4">
                  <c:v>EE.UU.</c:v>
                </c:pt>
                <c:pt idx="5">
                  <c:v>México</c:v>
                </c:pt>
                <c:pt idx="6">
                  <c:v>Francia</c:v>
                </c:pt>
                <c:pt idx="7">
                  <c:v>Portugal</c:v>
                </c:pt>
              </c:strCache>
            </c:strRef>
          </c:cat>
          <c:val>
            <c:numRef>
              <c:f>D4_Funciones!$L$17:$L$24</c:f>
              <c:numCache>
                <c:formatCode>General</c:formatCode>
                <c:ptCount val="8"/>
                <c:pt idx="0">
                  <c:v>51000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25000</c:v>
                </c:pt>
                <c:pt idx="5">
                  <c:v>13000</c:v>
                </c:pt>
                <c:pt idx="6">
                  <c:v>11000</c:v>
                </c:pt>
                <c:pt idx="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EA-AF45-93E8-68391136207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Total USD por Producto y País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D4_Funciones!$L$16</c:f>
              <c:strCache>
                <c:ptCount val="1"/>
                <c:pt idx="0">
                  <c:v>Total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D4_Funciones!$O$17:$O$24</c:f>
              <c:strCache>
                <c:ptCount val="8"/>
                <c:pt idx="0">
                  <c:v>Aceite - España</c:v>
                </c:pt>
                <c:pt idx="1">
                  <c:v>Vino - Francia</c:v>
                </c:pt>
                <c:pt idx="2">
                  <c:v>Vino - Italia</c:v>
                </c:pt>
                <c:pt idx="3">
                  <c:v>Cerámica - Alemania</c:v>
                </c:pt>
                <c:pt idx="4">
                  <c:v>Vino - EE.UU.</c:v>
                </c:pt>
                <c:pt idx="5">
                  <c:v>Cerveza - México</c:v>
                </c:pt>
                <c:pt idx="6">
                  <c:v>Queso - Francia</c:v>
                </c:pt>
                <c:pt idx="7">
                  <c:v>Vino - Portugal</c:v>
                </c:pt>
              </c:strCache>
            </c:strRef>
          </c:cat>
          <c:val>
            <c:numRef>
              <c:f>D4_Funciones!$L$17:$L$24</c:f>
              <c:numCache>
                <c:formatCode>General</c:formatCode>
                <c:ptCount val="8"/>
                <c:pt idx="0">
                  <c:v>51000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25000</c:v>
                </c:pt>
                <c:pt idx="5">
                  <c:v>13000</c:v>
                </c:pt>
                <c:pt idx="6">
                  <c:v>11000</c:v>
                </c:pt>
                <c:pt idx="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0-5A42-B772-B8C274EC5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987343"/>
        <c:axId val="1282015984"/>
      </c:barChart>
      <c:catAx>
        <c:axId val="106298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2015984"/>
        <c:crosses val="autoZero"/>
        <c:auto val="1"/>
        <c:lblAlgn val="ctr"/>
        <c:lblOffset val="100"/>
        <c:noMultiLvlLbl val="0"/>
      </c:catAx>
      <c:valAx>
        <c:axId val="12820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9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Distribución de etiquetas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D4_Funciones!$Q$32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BA-004E-8BFD-5FAB73F6019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BA-004E-8BFD-5FAB73F60199}"/>
              </c:ext>
            </c:extLst>
          </c:dPt>
          <c:cat>
            <c:strRef>
              <c:f>D4_Funciones!$P$33:$P$34</c:f>
              <c:strCache>
                <c:ptCount val="2"/>
                <c:pt idx="0">
                  <c:v>Alto</c:v>
                </c:pt>
                <c:pt idx="1">
                  <c:v>Bajo</c:v>
                </c:pt>
              </c:strCache>
            </c:strRef>
          </c:cat>
          <c:val>
            <c:numRef>
              <c:f>D4_Funciones!$Q$33:$Q$34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A-004E-8BFD-5FAB73F6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651215"/>
        <c:axId val="1062710815"/>
      </c:barChart>
      <c:catAx>
        <c:axId val="10576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2710815"/>
        <c:crosses val="autoZero"/>
        <c:auto val="1"/>
        <c:lblAlgn val="ctr"/>
        <c:lblOffset val="100"/>
        <c:noMultiLvlLbl val="0"/>
      </c:catAx>
      <c:valAx>
        <c:axId val="10627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6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USD por País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9E6-A742-9B78-7F386DD92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89E6-A742-9B78-7F386DD92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9E6-A742-9B78-7F386DD92E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89E6-A742-9B78-7F386DD92E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69C-704E-BF1F-9A563D2249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69C-704E-BF1F-9A563D2249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C69C-704E-BF1F-9A563D2249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C69C-704E-BF1F-9A563D2249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D4_Funciones!$K$17:$K$24</c:f>
              <c:strCache>
                <c:ptCount val="8"/>
                <c:pt idx="0">
                  <c:v>España</c:v>
                </c:pt>
                <c:pt idx="1">
                  <c:v>Francia</c:v>
                </c:pt>
                <c:pt idx="2">
                  <c:v>Italia</c:v>
                </c:pt>
                <c:pt idx="3">
                  <c:v>Alemania</c:v>
                </c:pt>
                <c:pt idx="4">
                  <c:v>EE.UU.</c:v>
                </c:pt>
                <c:pt idx="5">
                  <c:v>México</c:v>
                </c:pt>
                <c:pt idx="6">
                  <c:v>Francia</c:v>
                </c:pt>
                <c:pt idx="7">
                  <c:v>Portugal</c:v>
                </c:pt>
              </c:strCache>
            </c:strRef>
          </c:cat>
          <c:val>
            <c:numRef>
              <c:f>D4_Funciones!$L$17:$L$24</c:f>
              <c:numCache>
                <c:formatCode>General</c:formatCode>
                <c:ptCount val="8"/>
                <c:pt idx="0">
                  <c:v>51000</c:v>
                </c:pt>
                <c:pt idx="1">
                  <c:v>12000</c:v>
                </c:pt>
                <c:pt idx="2">
                  <c:v>10000</c:v>
                </c:pt>
                <c:pt idx="3">
                  <c:v>8000</c:v>
                </c:pt>
                <c:pt idx="4">
                  <c:v>25000</c:v>
                </c:pt>
                <c:pt idx="5">
                  <c:v>13000</c:v>
                </c:pt>
                <c:pt idx="6">
                  <c:v>11000</c:v>
                </c:pt>
                <c:pt idx="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A742-9B78-7F386DD92E4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/>
              <a:t>TOP 3 países por valor de exportación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D2_PQ_Exportaciones!$C$1</c:f>
              <c:strCache>
                <c:ptCount val="1"/>
                <c:pt idx="0">
                  <c:v>Valor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D2_PQ_Exportaciones!$A$2:$B$6</c:f>
              <c:multiLvlStrCache>
                <c:ptCount val="5"/>
                <c:lvl>
                  <c:pt idx="0">
                    <c:v>Vino</c:v>
                  </c:pt>
                  <c:pt idx="1">
                    <c:v>Vino</c:v>
                  </c:pt>
                  <c:pt idx="2">
                    <c:v>Vino</c:v>
                  </c:pt>
                  <c:pt idx="3">
                    <c:v>Vino</c:v>
                  </c:pt>
                  <c:pt idx="4">
                    <c:v>Vino</c:v>
                  </c:pt>
                </c:lvl>
                <c:lvl>
                  <c:pt idx="0">
                    <c:v>Alemania</c:v>
                  </c:pt>
                  <c:pt idx="1">
                    <c:v>Francia</c:v>
                  </c:pt>
                  <c:pt idx="2">
                    <c:v>EE.UU.</c:v>
                  </c:pt>
                  <c:pt idx="3">
                    <c:v>Japón</c:v>
                  </c:pt>
                  <c:pt idx="4">
                    <c:v>Canadá</c:v>
                  </c:pt>
                </c:lvl>
              </c:multiLvlStrCache>
            </c:multiLvlStrRef>
          </c:cat>
          <c:val>
            <c:numRef>
              <c:f>D2_PQ_Exportaciones!$C$2:$C$6</c:f>
              <c:numCache>
                <c:formatCode>General</c:formatCode>
                <c:ptCount val="5"/>
                <c:pt idx="0">
                  <c:v>55000</c:v>
                </c:pt>
                <c:pt idx="1">
                  <c:v>50000</c:v>
                </c:pt>
                <c:pt idx="2">
                  <c:v>95000</c:v>
                </c:pt>
                <c:pt idx="3">
                  <c:v>43000</c:v>
                </c:pt>
                <c:pt idx="4">
                  <c:v>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8-A74B-A16E-4FC72A73FFD4}"/>
            </c:ext>
          </c:extLst>
        </c:ser>
        <c:ser>
          <c:idx val="1"/>
          <c:order val="1"/>
          <c:tx>
            <c:strRef>
              <c:f>D2_PQ_Exportaciones!$D$1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D2_PQ_Exportaciones!$A$2:$B$6</c:f>
              <c:multiLvlStrCache>
                <c:ptCount val="5"/>
                <c:lvl>
                  <c:pt idx="0">
                    <c:v>Vino</c:v>
                  </c:pt>
                  <c:pt idx="1">
                    <c:v>Vino</c:v>
                  </c:pt>
                  <c:pt idx="2">
                    <c:v>Vino</c:v>
                  </c:pt>
                  <c:pt idx="3">
                    <c:v>Vino</c:v>
                  </c:pt>
                  <c:pt idx="4">
                    <c:v>Vino</c:v>
                  </c:pt>
                </c:lvl>
                <c:lvl>
                  <c:pt idx="0">
                    <c:v>Alemania</c:v>
                  </c:pt>
                  <c:pt idx="1">
                    <c:v>Francia</c:v>
                  </c:pt>
                  <c:pt idx="2">
                    <c:v>EE.UU.</c:v>
                  </c:pt>
                  <c:pt idx="3">
                    <c:v>Japón</c:v>
                  </c:pt>
                  <c:pt idx="4">
                    <c:v>Canadá</c:v>
                  </c:pt>
                </c:lvl>
              </c:multiLvlStrCache>
            </c:multiLvlStrRef>
          </c:cat>
          <c:val>
            <c:numRef>
              <c:f>D2_PQ_Exportaciones!$D$2:$D$6</c:f>
              <c:numCache>
                <c:formatCode>General</c:formatCode>
                <c:ptCount val="5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8-A74B-A16E-4FC72A73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213776"/>
        <c:axId val="1319215488"/>
      </c:barChart>
      <c:catAx>
        <c:axId val="13192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215488"/>
        <c:crosses val="autoZero"/>
        <c:auto val="1"/>
        <c:lblAlgn val="ctr"/>
        <c:lblOffset val="100"/>
        <c:noMultiLvlLbl val="0"/>
      </c:catAx>
      <c:valAx>
        <c:axId val="1319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2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/>
              <a:t>TOP 3 países por valor de exportación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D2_PQ_Exportaciones!$C$1</c:f>
              <c:strCache>
                <c:ptCount val="1"/>
                <c:pt idx="0">
                  <c:v>Valor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D2_PQ_Exportaciones!$A$2:$B$6</c:f>
              <c:multiLvlStrCache>
                <c:ptCount val="5"/>
                <c:lvl>
                  <c:pt idx="0">
                    <c:v>Vino</c:v>
                  </c:pt>
                  <c:pt idx="1">
                    <c:v>Vino</c:v>
                  </c:pt>
                  <c:pt idx="2">
                    <c:v>Vino</c:v>
                  </c:pt>
                  <c:pt idx="3">
                    <c:v>Vino</c:v>
                  </c:pt>
                  <c:pt idx="4">
                    <c:v>Vino</c:v>
                  </c:pt>
                </c:lvl>
                <c:lvl>
                  <c:pt idx="0">
                    <c:v>Alemania</c:v>
                  </c:pt>
                  <c:pt idx="1">
                    <c:v>Francia</c:v>
                  </c:pt>
                  <c:pt idx="2">
                    <c:v>EE.UU.</c:v>
                  </c:pt>
                  <c:pt idx="3">
                    <c:v>Japón</c:v>
                  </c:pt>
                  <c:pt idx="4">
                    <c:v>Canadá</c:v>
                  </c:pt>
                </c:lvl>
              </c:multiLvlStrCache>
            </c:multiLvlStrRef>
          </c:cat>
          <c:val>
            <c:numRef>
              <c:f>D2_PQ_Exportaciones!$C$2:$C$6</c:f>
              <c:numCache>
                <c:formatCode>General</c:formatCode>
                <c:ptCount val="5"/>
                <c:pt idx="0">
                  <c:v>55000</c:v>
                </c:pt>
                <c:pt idx="1">
                  <c:v>50000</c:v>
                </c:pt>
                <c:pt idx="2">
                  <c:v>95000</c:v>
                </c:pt>
                <c:pt idx="3">
                  <c:v>43000</c:v>
                </c:pt>
                <c:pt idx="4">
                  <c:v>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1-B94D-8566-22A323AC3FDE}"/>
            </c:ext>
          </c:extLst>
        </c:ser>
        <c:ser>
          <c:idx val="1"/>
          <c:order val="1"/>
          <c:tx>
            <c:strRef>
              <c:f>D2_PQ_Exportaciones!$D$1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D2_PQ_Exportaciones!$A$2:$B$6</c:f>
              <c:multiLvlStrCache>
                <c:ptCount val="5"/>
                <c:lvl>
                  <c:pt idx="0">
                    <c:v>Vino</c:v>
                  </c:pt>
                  <c:pt idx="1">
                    <c:v>Vino</c:v>
                  </c:pt>
                  <c:pt idx="2">
                    <c:v>Vino</c:v>
                  </c:pt>
                  <c:pt idx="3">
                    <c:v>Vino</c:v>
                  </c:pt>
                  <c:pt idx="4">
                    <c:v>Vino</c:v>
                  </c:pt>
                </c:lvl>
                <c:lvl>
                  <c:pt idx="0">
                    <c:v>Alemania</c:v>
                  </c:pt>
                  <c:pt idx="1">
                    <c:v>Francia</c:v>
                  </c:pt>
                  <c:pt idx="2">
                    <c:v>EE.UU.</c:v>
                  </c:pt>
                  <c:pt idx="3">
                    <c:v>Japón</c:v>
                  </c:pt>
                  <c:pt idx="4">
                    <c:v>Canadá</c:v>
                  </c:pt>
                </c:lvl>
              </c:multiLvlStrCache>
            </c:multiLvlStrRef>
          </c:cat>
          <c:val>
            <c:numRef>
              <c:f>D2_PQ_Exportaciones!$D$2:$D$6</c:f>
              <c:numCache>
                <c:formatCode>General</c:formatCode>
                <c:ptCount val="5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A-4D45-B1DA-1A4C5AA4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213776"/>
        <c:axId val="1319215488"/>
      </c:barChart>
      <c:catAx>
        <c:axId val="13192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215488"/>
        <c:crosses val="autoZero"/>
        <c:auto val="1"/>
        <c:lblAlgn val="ctr"/>
        <c:lblOffset val="100"/>
        <c:noMultiLvlLbl val="0"/>
      </c:catAx>
      <c:valAx>
        <c:axId val="1319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2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/>
              <a:t>TOP 3 países por valor de exportación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D1_ExportacionesVino!$C$1</c:f>
              <c:strCache>
                <c:ptCount val="1"/>
                <c:pt idx="0">
                  <c:v>Valor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D1_ExportacionesVino!$A$2:$B$4</c:f>
              <c:multiLvlStrCache>
                <c:ptCount val="3"/>
                <c:lvl>
                  <c:pt idx="0">
                    <c:v>Vino</c:v>
                  </c:pt>
                  <c:pt idx="1">
                    <c:v>Vino</c:v>
                  </c:pt>
                  <c:pt idx="2">
                    <c:v>Vino</c:v>
                  </c:pt>
                </c:lvl>
                <c:lvl>
                  <c:pt idx="0">
                    <c:v>EE.UU.</c:v>
                  </c:pt>
                  <c:pt idx="1">
                    <c:v>Alemania</c:v>
                  </c:pt>
                  <c:pt idx="2">
                    <c:v>Francia</c:v>
                  </c:pt>
                </c:lvl>
              </c:multiLvlStrCache>
            </c:multiLvlStrRef>
          </c:cat>
          <c:val>
            <c:numRef>
              <c:f>D1_ExportacionesVino!$C$2:$C$4</c:f>
              <c:numCache>
                <c:formatCode>General</c:formatCode>
                <c:ptCount val="3"/>
                <c:pt idx="0">
                  <c:v>80000</c:v>
                </c:pt>
                <c:pt idx="1">
                  <c:v>50000</c:v>
                </c:pt>
                <c:pt idx="2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8-3348-A73F-4BB7427C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213776"/>
        <c:axId val="1319215488"/>
      </c:barChart>
      <c:catAx>
        <c:axId val="13192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215488"/>
        <c:crosses val="autoZero"/>
        <c:auto val="1"/>
        <c:lblAlgn val="ctr"/>
        <c:lblOffset val="100"/>
        <c:noMultiLvlLbl val="0"/>
      </c:catAx>
      <c:valAx>
        <c:axId val="1319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2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12</xdr:row>
      <xdr:rowOff>177800</xdr:rowOff>
    </xdr:from>
    <xdr:to>
      <xdr:col>15</xdr:col>
      <xdr:colOff>309033</xdr:colOff>
      <xdr:row>27</xdr:row>
      <xdr:rowOff>131233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CE8761-ECB0-094B-BEED-133C49390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28</xdr:row>
      <xdr:rowOff>139700</xdr:rowOff>
    </xdr:from>
    <xdr:to>
      <xdr:col>7</xdr:col>
      <xdr:colOff>683683</xdr:colOff>
      <xdr:row>37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7101DC-EA35-9243-8A69-95F325422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29</xdr:row>
      <xdr:rowOff>12700</xdr:rowOff>
    </xdr:from>
    <xdr:to>
      <xdr:col>14</xdr:col>
      <xdr:colOff>745067</xdr:colOff>
      <xdr:row>42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B5425-B1FC-5449-9B0E-647337087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622300</xdr:colOff>
      <xdr:row>12</xdr:row>
      <xdr:rowOff>76200</xdr:rowOff>
    </xdr:from>
    <xdr:to>
      <xdr:col>22</xdr:col>
      <xdr:colOff>152400</xdr:colOff>
      <xdr:row>27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0D9B07-15DC-4839-047F-13D7FF68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28</xdr:row>
      <xdr:rowOff>139700</xdr:rowOff>
    </xdr:from>
    <xdr:to>
      <xdr:col>21</xdr:col>
      <xdr:colOff>63500</xdr:colOff>
      <xdr:row>37</xdr:row>
      <xdr:rowOff>177800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B562BD-F29A-155C-6912-C295476EB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20</xdr:col>
      <xdr:colOff>558800</xdr:colOff>
      <xdr:row>54</xdr:row>
      <xdr:rowOff>50800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0909ED7-84B7-EAFE-F57D-847C49118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745066</xdr:colOff>
      <xdr:row>15</xdr:row>
      <xdr:rowOff>16933</xdr:rowOff>
    </xdr:from>
    <xdr:to>
      <xdr:col>9</xdr:col>
      <xdr:colOff>427566</xdr:colOff>
      <xdr:row>29</xdr:row>
      <xdr:rowOff>176739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 1">
              <a:extLst>
                <a:ext uri="{FF2B5EF4-FFF2-40B4-BE49-F238E27FC236}">
                  <a16:creationId xmlns:a16="http://schemas.microsoft.com/office/drawing/2014/main" id="{D2D6B79F-4C16-5CAD-F4FB-48D9B60017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6533" y="3064933"/>
              <a:ext cx="2324100" cy="3004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618066</xdr:colOff>
      <xdr:row>15</xdr:row>
      <xdr:rowOff>50801</xdr:rowOff>
    </xdr:from>
    <xdr:to>
      <xdr:col>11</xdr:col>
      <xdr:colOff>372534</xdr:colOff>
      <xdr:row>30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 1">
              <a:extLst>
                <a:ext uri="{FF2B5EF4-FFF2-40B4-BE49-F238E27FC236}">
                  <a16:creationId xmlns:a16="http://schemas.microsoft.com/office/drawing/2014/main" id="{E6F4D5D5-9F5F-0C0B-FF67-48F17AD2D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01133" y="3098801"/>
              <a:ext cx="2396068" cy="299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177800</xdr:colOff>
      <xdr:row>14</xdr:row>
      <xdr:rowOff>139700</xdr:rowOff>
    </xdr:from>
    <xdr:to>
      <xdr:col>4</xdr:col>
      <xdr:colOff>279400</xdr:colOff>
      <xdr:row>27</xdr:row>
      <xdr:rowOff>117472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">
              <a:extLst>
                <a:ext uri="{FF2B5EF4-FFF2-40B4-BE49-F238E27FC236}">
                  <a16:creationId xmlns:a16="http://schemas.microsoft.com/office/drawing/2014/main" id="{4387EE2A-1895-8B8B-16A5-C6F0B8558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700" y="29845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736600</xdr:colOff>
      <xdr:row>14</xdr:row>
      <xdr:rowOff>127000</xdr:rowOff>
    </xdr:from>
    <xdr:to>
      <xdr:col>8</xdr:col>
      <xdr:colOff>88900</xdr:colOff>
      <xdr:row>27</xdr:row>
      <xdr:rowOff>104772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884BD232-6185-4D09-0F4C-2E4C8422F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29718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19050</xdr:rowOff>
    </xdr:from>
    <xdr:to>
      <xdr:col>10</xdr:col>
      <xdr:colOff>508000</xdr:colOff>
      <xdr:row>16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E90E0B-B30D-1747-9C11-BEE178FE1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19050</xdr:rowOff>
    </xdr:from>
    <xdr:to>
      <xdr:col>10</xdr:col>
      <xdr:colOff>508000</xdr:colOff>
      <xdr:row>16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55D507-78AF-9546-939F-7B5C06951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3</xdr:row>
      <xdr:rowOff>19050</xdr:rowOff>
    </xdr:from>
    <xdr:to>
      <xdr:col>9</xdr:col>
      <xdr:colOff>508000</xdr:colOff>
      <xdr:row>16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07088C-2CFD-D0B8-D9A7-00430708E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én Llatas Beny" refreshedDate="45757.806715046296" createdVersion="8" refreshedVersion="8" minRefreshableVersion="3" recordCount="5" xr:uid="{FF224027-DEC2-644A-8B02-D0E586A38A0E}">
  <cacheSource type="worksheet">
    <worksheetSource name="D2_PQ_Exportaciones9"/>
  </cacheSource>
  <cacheFields count="5">
    <cacheField name="País" numFmtId="0">
      <sharedItems count="5">
        <s v="Alemania"/>
        <s v="Francia"/>
        <s v="EE.UU."/>
        <s v="Japón"/>
        <s v="Canadá"/>
      </sharedItems>
    </cacheField>
    <cacheField name="Producto" numFmtId="0">
      <sharedItems count="1">
        <s v="Vino"/>
      </sharedItems>
    </cacheField>
    <cacheField name="Valor (USD)" numFmtId="0">
      <sharedItems containsSemiMixedTypes="0" containsString="0" containsNumber="1" containsInteger="1" minValue="43000" maxValue="95000"/>
    </cacheField>
    <cacheField name="Año" numFmtId="0">
      <sharedItems containsSemiMixedTypes="0" containsString="0" containsNumber="1" containsInteger="1" minValue="2023" maxValue="2023" count="1">
        <n v="2023"/>
      </sharedItems>
    </cacheField>
    <cacheField name="Valor con IVA" numFmtId="0" formula="'Valor (USD)'* 1.21" databaseField="0"/>
  </cacheFields>
  <extLst>
    <ext xmlns:x14="http://schemas.microsoft.com/office/spreadsheetml/2009/9/main" uri="{725AE2AE-9491-48be-B2B4-4EB974FC3084}">
      <x14:pivotCacheDefinition pivotCacheId="74324308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én Llatas Beny" refreshedDate="45757.863631250002" createdVersion="8" refreshedVersion="8" minRefreshableVersion="3" recordCount="10" xr:uid="{95298086-DEE6-0B46-BFFC-4DD95EAB4568}">
  <cacheSource type="worksheet">
    <worksheetSource name="Tabla10"/>
  </cacheSource>
  <cacheFields count="5">
    <cacheField name="Año" numFmtId="0">
      <sharedItems containsSemiMixedTypes="0" containsString="0" containsNumber="1" containsInteger="1" minValue="2022" maxValue="2024" count="3">
        <n v="2022"/>
        <n v="2023"/>
        <n v="2024"/>
      </sharedItems>
    </cacheField>
    <cacheField name="País" numFmtId="0">
      <sharedItems count="5">
        <s v="Francia"/>
        <s v="España"/>
        <s v="Alemania"/>
        <s v="Italia"/>
        <s v="Portugal"/>
      </sharedItems>
    </cacheField>
    <cacheField name="Producto" numFmtId="0">
      <sharedItems count="5">
        <s v="Vino"/>
        <s v="Aceite"/>
        <s v="Jamón"/>
        <s v="Cerveza"/>
        <s v="Queso"/>
      </sharedItems>
    </cacheField>
    <cacheField name="Valor (USD)" numFmtId="0">
      <sharedItems containsSemiMixedTypes="0" containsString="0" containsNumber="1" containsInteger="1" minValue="4900" maxValue="14200"/>
    </cacheField>
    <cacheField name="Ingresos con IVA" numFmtId="0" formula="'Valor (USD)'* 1.21" databaseField="0"/>
  </cacheFields>
  <extLst>
    <ext xmlns:x14="http://schemas.microsoft.com/office/spreadsheetml/2009/9/main" uri="{725AE2AE-9491-48be-B2B4-4EB974FC3084}">
      <x14:pivotCacheDefinition pivotCacheId="18598502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55000"/>
    <x v="0"/>
  </r>
  <r>
    <x v="1"/>
    <x v="0"/>
    <n v="50000"/>
    <x v="0"/>
  </r>
  <r>
    <x v="2"/>
    <x v="0"/>
    <n v="95000"/>
    <x v="0"/>
  </r>
  <r>
    <x v="3"/>
    <x v="0"/>
    <n v="43000"/>
    <x v="0"/>
  </r>
  <r>
    <x v="4"/>
    <x v="0"/>
    <n v="475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2500"/>
  </r>
  <r>
    <x v="0"/>
    <x v="1"/>
    <x v="1"/>
    <n v="9400"/>
  </r>
  <r>
    <x v="1"/>
    <x v="2"/>
    <x v="2"/>
    <n v="7800"/>
  </r>
  <r>
    <x v="1"/>
    <x v="3"/>
    <x v="0"/>
    <n v="13100"/>
  </r>
  <r>
    <x v="2"/>
    <x v="4"/>
    <x v="3"/>
    <n v="5300"/>
  </r>
  <r>
    <x v="2"/>
    <x v="1"/>
    <x v="4"/>
    <n v="6750"/>
  </r>
  <r>
    <x v="1"/>
    <x v="0"/>
    <x v="2"/>
    <n v="10200"/>
  </r>
  <r>
    <x v="0"/>
    <x v="3"/>
    <x v="3"/>
    <n v="4900"/>
  </r>
  <r>
    <x v="0"/>
    <x v="2"/>
    <x v="1"/>
    <n v="8300"/>
  </r>
  <r>
    <x v="2"/>
    <x v="0"/>
    <x v="0"/>
    <n v="14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4DFEE-EE15-A742-88E1-F2E6CFE812A2}" name="D3_ValorPaisProducto_Pro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M11" firstHeaderRow="1" firstDataRow="3" firstDataCol="1"/>
  <pivotFields count="5">
    <pivotField showAll="0">
      <items count="4">
        <item x="0"/>
        <item x="1"/>
        <item x="2"/>
        <item t="default"/>
      </items>
    </pivotField>
    <pivotField axis="axisRow" showAll="0">
      <items count="6">
        <item x="2"/>
        <item x="1"/>
        <item x="0"/>
        <item x="3"/>
        <item x="4"/>
        <item t="default"/>
      </items>
    </pivotField>
    <pivotField axis="axisCol" showAll="0">
      <items count="6">
        <item x="1"/>
        <item x="3"/>
        <item x="2"/>
        <item x="4"/>
        <item x="0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Ingresos netos" fld="3" baseField="0" baseItem="0"/>
    <dataField name="Suma Ingresos con IVA" fld="4" baseField="0" baseItem="0"/>
  </dataFields>
  <formats count="1">
    <format dxfId="48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06D7D-9886-8842-8BBB-09D84E6328E7}" name="D3_ValorPaisProducto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E11" firstHeaderRow="1" firstDataRow="3" firstDataCol="1"/>
  <pivotFields count="5">
    <pivotField axis="axisRow" showAll="0">
      <items count="6">
        <item x="0"/>
        <item x="4"/>
        <item x="2"/>
        <item x="1"/>
        <item x="3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>
      <items count="2">
        <item x="0"/>
        <item t="default"/>
      </items>
    </pivotField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a de Valor (USD)" fld="2" baseField="0" baseItem="0"/>
    <dataField name="Suma de Valor con IV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2D06487A-BC26-0142-B418-72873EC38563}" autoFormatId="16" applyNumberFormats="0" applyBorderFormats="0" applyFontFormats="0" applyPatternFormats="0" applyAlignmentFormats="0" applyWidthHeightFormats="0">
  <queryTableRefresh nextId="5">
    <queryTableFields count="4">
      <queryTableField id="1" name="País" tableColumnId="1"/>
      <queryTableField id="2" name="Producto" tableColumnId="2"/>
      <queryTableField id="3" name="Valor (USD)" tableColumnId="3"/>
      <queryTableField id="4" name="Año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2DF5F9C4-5486-1A47-8F85-CFCA539CEE26}" autoFormatId="16" applyNumberFormats="0" applyBorderFormats="0" applyFontFormats="0" applyPatternFormats="0" applyAlignmentFormats="0" applyWidthHeightFormats="0">
  <queryTableRefresh nextId="5">
    <queryTableFields count="4">
      <queryTableField id="1" name="País" tableColumnId="1"/>
      <queryTableField id="2" name="Producto" tableColumnId="2"/>
      <queryTableField id="3" name="Valor (USD)" tableColumnId="3"/>
      <queryTableField id="4" name="Añ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A931F4D0-FBE5-F94C-A1E9-605133443A07}" autoFormatId="16" applyNumberFormats="0" applyBorderFormats="0" applyFontFormats="0" applyPatternFormats="0" applyAlignmentFormats="0" applyWidthHeightFormats="0">
  <queryTableRefresh nextId="5">
    <queryTableFields count="4">
      <queryTableField id="1" name="País" tableColumnId="1"/>
      <queryTableField id="2" name="Producto" tableColumnId="2"/>
      <queryTableField id="3" name="Valor (USD)" tableColumnId="3"/>
      <queryTableField id="4" name="Año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E1EEA81-D44E-9344-9945-B18C5A09A85C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Producto" tableColumnId="2"/>
      <queryTableField id="3" name="Valor (USD)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633F168D-12FB-8144-B9E9-00120AD99DC9}" sourceName="Año">
  <pivotTables>
    <pivotTable tabId="14" name="D3_ValorPaisProducto"/>
  </pivotTables>
  <data>
    <tabular pivotCacheId="743243085">
      <items count="1"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82C1F1EC-ECE3-0E42-866E-E8A1CF325B66}" sourceName="Producto">
  <pivotTables>
    <pivotTable tabId="14" name="D3_ValorPaisProducto"/>
  </pivotTables>
  <data>
    <tabular pivotCacheId="743243085">
      <items count="1"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1" xr10:uid="{2237CCF0-2660-294B-B9ED-509BB7AF7F6F}" sourceName="Año">
  <pivotTables>
    <pivotTable tabId="17" name="D3_ValorPaisProducto_Pro"/>
  </pivotTables>
  <data>
    <tabular pivotCacheId="1859850264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8A3E13EA-FE57-6D47-AA5E-3B52D87AF2A0}" sourceName="Producto">
  <pivotTables>
    <pivotTable tabId="17" name="D3_ValorPaisProducto_Pro"/>
  </pivotTables>
  <data>
    <tabular pivotCacheId="1859850264">
      <items count="5">
        <i x="1" s="1"/>
        <i x="3" s="1"/>
        <i x="2" s="1"/>
        <i x="4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 1" xr10:uid="{5663EBEE-0DF3-7741-9BA6-14B2E8FCB862}" cache="SegmentaciónDeDatos_Año1" caption="Año" style="SlicerStyleOther1" rowHeight="251883"/>
  <slicer name="Producto 1" xr10:uid="{955A6529-BE90-7749-B66B-C2D111B898E2}" cache="SegmentaciónDeDatos_Producto1" caption="Producto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F723057C-F83D-7440-935A-47F89132A21B}" cache="SegmentaciónDeDatos_Año" caption="Año" rowHeight="251883"/>
  <slicer name="Producto" xr10:uid="{6930DCF8-2869-3842-B89A-23B457438C55}" cache="SegmentaciónDeDatos_Producto" caption="Producto" rowHeight="251883"/>
</slicer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DD81595-D3D2-674F-A0E5-1D82DDA090B0}" name="PQ_ExportacionesD8" displayName="PQ_ExportacionesD8" ref="A1:E7" totalsRowShown="0">
  <autoFilter ref="A1:E7" xr:uid="{9DD81595-D3D2-674F-A0E5-1D82DDA090B0}"/>
  <tableColumns count="5">
    <tableColumn id="1" xr3:uid="{48DDB2B8-2C38-2F49-A1E4-A19F71531D6A}" name="Producto" dataDxfId="2"/>
    <tableColumn id="2" xr3:uid="{11DC6647-40D0-A644-B03E-E38B43BCA9C2}" name="País" dataDxfId="1"/>
    <tableColumn id="3" xr3:uid="{C474D3A6-F03E-4C4C-B6AA-CB6222263AE5}" name="Unidades"/>
    <tableColumn id="4" xr3:uid="{07E7F607-6787-D34B-BBBA-FB6A54349875}" name="Precio Unitario"/>
    <tableColumn id="5" xr3:uid="{B14CD3E9-A4AA-CA42-93C2-EB71E6D29841}" name="Fecha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F1A9FC-92FC-074C-B0D6-8AE41DE18B22}" name="D2_Exportaciones2023" displayName="D2_Exportaciones2023" ref="A1:D7" totalsRowShown="0" headerRowDxfId="37" dataDxfId="36">
  <autoFilter ref="A1:D7" xr:uid="{C7F1A9FC-92FC-074C-B0D6-8AE41DE18B22}"/>
  <tableColumns count="4">
    <tableColumn id="1" xr3:uid="{BF98DE52-1601-4341-B3DB-2BE95156DE6B}" name="País" dataDxfId="35"/>
    <tableColumn id="2" xr3:uid="{59FE3020-C79E-724E-A43D-4783A75D3218}" name="Producto" dataDxfId="34"/>
    <tableColumn id="3" xr3:uid="{7460537F-BDE1-B74F-A4F5-9493CC810794}" name="Valor (USD)" dataDxfId="33"/>
    <tableColumn id="4" xr3:uid="{172FB409-7A55-F64E-8EBA-8462636E8093}" name="Año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09C8F4-F762-724F-B1B0-27033FA0821D}" name="D2_Exportaciones2021" displayName="D2_Exportaciones2021" ref="A1:D7" totalsRowShown="0" headerRowDxfId="31" dataDxfId="30">
  <autoFilter ref="A1:D7" xr:uid="{FD09C8F4-F762-724F-B1B0-27033FA0821D}"/>
  <tableColumns count="4">
    <tableColumn id="1" xr3:uid="{F28023BF-8172-4A4B-A798-89D40C1B7570}" name="País" dataDxfId="29"/>
    <tableColumn id="2" xr3:uid="{66C47FBD-E3C5-CA40-B72D-88D165D71297}" name="Producto" dataDxfId="28"/>
    <tableColumn id="3" xr3:uid="{27F722DB-E7FC-B643-B8B0-77BBD918498C}" name="Valor (USD)" dataDxfId="27"/>
    <tableColumn id="4" xr3:uid="{8F67788E-ACA8-4F45-8B62-358593A1B7EA}" name="Año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E7017D-8C56-7D4C-9FD9-3D707D681610}" name="D2_PQ_Exportaciones" displayName="D2_PQ_Exportaciones" ref="A1:D6" tableType="queryTable" totalsRowShown="0">
  <autoFilter ref="A1:D6" xr:uid="{9C53BB8A-53A9-E946-B0B4-908E69A242A1}"/>
  <tableColumns count="4">
    <tableColumn id="1" xr3:uid="{CDEF2F71-8F39-6149-A53E-61F97CAF4647}" uniqueName="1" name="País" queryTableFieldId="1" dataDxfId="25"/>
    <tableColumn id="2" xr3:uid="{F5DBA32C-0ED4-D341-A34A-4960CB7D4507}" uniqueName="2" name="Producto" queryTableFieldId="2" dataDxfId="24"/>
    <tableColumn id="3" xr3:uid="{799D0458-7AC7-D04C-81A6-2DD092CA4F54}" uniqueName="3" name="Valor (USD)" queryTableFieldId="3"/>
    <tableColumn id="4" xr3:uid="{16278713-638F-1449-9138-22D3D45BE4F0}" uniqueName="4" name="Año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88BEB9-40B9-A941-8D77-415C97C9BE17}" name="D2_TablaOriginal" displayName="D2_TablaOriginal" ref="A1:D6" totalsRowShown="0" headerRowDxfId="23" dataDxfId="22">
  <autoFilter ref="A1:D6" xr:uid="{C588BEB9-40B9-A941-8D77-415C97C9BE17}"/>
  <tableColumns count="4">
    <tableColumn id="1" xr3:uid="{4945FC05-B83B-5343-9B5E-17642DF116EC}" name="País" dataDxfId="21"/>
    <tableColumn id="2" xr3:uid="{61C005B2-EBC1-9D4D-9D78-04F63D702CD8}" name="Producto" dataDxfId="20"/>
    <tableColumn id="3" xr3:uid="{1AC9C193-B1CE-7142-84BA-815543BF2982}" name="Valor (USD)" dataDxfId="19"/>
    <tableColumn id="4" xr3:uid="{ED83C3A3-8155-7F44-AFD2-4E4361E64C26}" name="Año" dataDxfId="18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53BB8A-53A9-E946-B0B4-908E69A242A1}" name="D1_ExportacionesVino_1" displayName="D1_ExportacionesVino_1" ref="A1:C4" tableType="queryTable" totalsRowShown="0">
  <autoFilter ref="A1:C4" xr:uid="{9C53BB8A-53A9-E946-B0B4-908E69A242A1}"/>
  <tableColumns count="3">
    <tableColumn id="1" xr3:uid="{6200B05D-B608-8047-9BDD-68A6FAD72E39}" uniqueName="1" name="País" queryTableFieldId="1" dataDxfId="17"/>
    <tableColumn id="2" xr3:uid="{29735AAD-E838-B949-BD7E-621A974B610A}" uniqueName="2" name="Producto" queryTableFieldId="2" dataDxfId="16"/>
    <tableColumn id="3" xr3:uid="{0AA93939-8411-E74E-A05C-88C10EA4964C}" uniqueName="3" name="Valor (USD)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D1380-32D6-A740-B6CC-EA9D28AD6346}" name="D1_ExportacionesVino" displayName="D1_ExportacionesVino" ref="A1:D6" totalsRowShown="0" headerRowDxfId="15" dataDxfId="14">
  <autoFilter ref="A1:D6" xr:uid="{006D1380-32D6-A740-B6CC-EA9D28AD6346}"/>
  <tableColumns count="4">
    <tableColumn id="1" xr3:uid="{0B1E7F2E-8B8B-7544-BA29-29382EE9CE79}" name="País" dataDxfId="13"/>
    <tableColumn id="2" xr3:uid="{CA0FC0B2-3E5D-E843-BD06-8DC0A74468C5}" name="Producto" dataDxfId="12"/>
    <tableColumn id="3" xr3:uid="{4FFED5D8-8485-F64D-BC70-C8B62A8C426C}" name="Valor (USD)" dataDxfId="11"/>
    <tableColumn id="4" xr3:uid="{62753829-09E3-CB4A-8ECD-6DE096BD0D79}" name="Año" dataDxfId="1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EBD411-C2A5-DD4A-A614-CA78A7770175}" name="TablaExportación" displayName="TablaExportación" ref="B3:G8" totalsRowShown="0" headerRowDxfId="78" dataDxfId="77" tableBorderDxfId="76">
  <autoFilter ref="B3:G8" xr:uid="{85EBD411-C2A5-DD4A-A614-CA78A7770175}"/>
  <tableColumns count="6">
    <tableColumn id="1" xr3:uid="{9F323960-F096-304B-B12B-935D6654FBE9}" name="Producto" dataDxfId="75"/>
    <tableColumn id="2" xr3:uid="{731C67C8-EF65-0A44-A99F-ED498507920B}" name="País" dataDxfId="74"/>
    <tableColumn id="3" xr3:uid="{7337157B-7DFB-A14F-8C4E-B8507108798A}" name="Precio unitario (€)" dataDxfId="73"/>
    <tableColumn id="4" xr3:uid="{B1B82DAC-B1C1-F441-81FD-1DAA7094476E}" name="Beneficio unitario (€)" dataDxfId="72"/>
    <tableColumn id="5" xr3:uid="{657AF02E-7793-1C46-B7BB-86F68242DFE9}" name="Unidades a exportar" dataDxfId="71"/>
    <tableColumn id="6" xr3:uid="{BFCC0AFB-80D7-4F4E-9A6C-85B4EFAFC1A8}" name="Beneficio por país (€)" dataDxfId="70">
      <calculatedColumnFormula>TablaExportación[[#This Row],[Unidades a exportar]] * TablaExportación[[#This Row],[Beneficio unitario (€)]]</calculatedColumnFormula>
    </tableColumn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EA3FF5-7098-874F-B607-F4604E11BCC6}" name="TablaControl" displayName="TablaControl" ref="B3:F10" totalsRowShown="0" headerRowDxfId="69" dataDxfId="68" tableBorderDxfId="67">
  <autoFilter ref="B3:F10" xr:uid="{5DEA3FF5-7098-874F-B607-F4604E11BCC6}"/>
  <tableColumns count="5">
    <tableColumn id="1" xr3:uid="{6AA97630-FA23-C746-9899-DF7496CE5A38}" name="Producto" dataDxfId="66"/>
    <tableColumn id="2" xr3:uid="{E2E2BD1E-3F11-074C-A778-63773679374B}" name="País" dataDxfId="65"/>
    <tableColumn id="3" xr3:uid="{307F67EF-B4A8-884F-A572-A33D5C7D7F6B}" name="Unidades" dataDxfId="64"/>
    <tableColumn id="4" xr3:uid="{B801A960-B0EF-054F-A5E4-66B61F41568A}" name="Entregado" dataDxfId="63"/>
    <tableColumn id="5" xr3:uid="{8DED49D2-427D-8144-B08B-974C985A7CD4}" name="Días de retraso" dataDxfId="62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D1F075-8DCB-0F4F-AF7C-B20BA67F8B02}" name="KPIsdeExportaciones" displayName="KPIsdeExportaciones" ref="B9:C13" totalsRowShown="0" headerRowDxfId="61">
  <autoFilter ref="B9:C13" xr:uid="{8ED1F075-8DCB-0F4F-AF7C-B20BA67F8B02}"/>
  <tableColumns count="2">
    <tableColumn id="1" xr3:uid="{E8606DBE-58E2-1F40-A789-D3C300E4F8F5}" name="KPI"/>
    <tableColumn id="2" xr3:uid="{6995CA6C-5ADF-BB47-A372-95E3E0819C93}" name="Valo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B27A28-9030-7B46-97E1-B1061F143B3E}" name="TablaDatos" displayName="TablaDatos" ref="A1:D8" totalsRowShown="0" headerRowDxfId="60" dataDxfId="59">
  <autoFilter ref="A1:D8" xr:uid="{D7B27A28-9030-7B46-97E1-B1061F143B3E}"/>
  <tableColumns count="4">
    <tableColumn id="1" xr3:uid="{6E7521B2-CE3B-F140-890E-8249BCC1B1CC}" name="Producto" dataDxfId="58"/>
    <tableColumn id="2" xr3:uid="{258694CA-2D1C-9C4D-9E9A-7FBF472BFE03}" name="País" dataDxfId="57"/>
    <tableColumn id="3" xr3:uid="{9E2A6158-4204-8B40-A128-1118A72A3116}" name="Año" dataDxfId="56"/>
    <tableColumn id="4" xr3:uid="{5680985B-25C2-9642-A2B1-52102D5780B8}" name="Valor (USD)" dataDxfId="55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02A18C-B538-6B45-ABC1-EC9E9A68BAAE}" name="TablaFunc" displayName="TablaFunc" ref="A16:D26" totalsRowShown="0" headerRowDxfId="54" dataDxfId="53">
  <autoFilter ref="A16:D26" xr:uid="{8F02A18C-B538-6B45-ABC1-EC9E9A68BAAE}"/>
  <tableColumns count="4">
    <tableColumn id="1" xr3:uid="{2AB16972-8E2F-9E4E-9F76-7D11F9943B45}" name="Producto" dataDxfId="52"/>
    <tableColumn id="2" xr3:uid="{DE92DF2E-BE3C-A745-9F80-8B8987BAA2AC}" name="País" dataDxfId="51"/>
    <tableColumn id="3" xr3:uid="{F34F6946-8CAA-154B-9119-16AB1A9826B8}" name="Año" dataDxfId="50"/>
    <tableColumn id="4" xr3:uid="{8AF63853-36BA-FD4C-9E15-13221E4BDBA4}" name="Valor (USD)" dataDxfId="49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58724F1-D153-354C-8072-862B768AF291}" name="Tabla10" displayName="Tabla10" ref="A1:D11" totalsRowShown="0" headerRowDxfId="47" dataDxfId="46">
  <autoFilter ref="A1:D11" xr:uid="{D58724F1-D153-354C-8072-862B768AF291}"/>
  <tableColumns count="4">
    <tableColumn id="1" xr3:uid="{42605D0B-E5C5-0D4B-B457-19D86ADC26E6}" name="Año" dataDxfId="45"/>
    <tableColumn id="2" xr3:uid="{736B68AE-DB9F-E940-B5EF-F0D52E06CC39}" name="País" dataDxfId="44"/>
    <tableColumn id="3" xr3:uid="{B7C98E0C-5E5B-8F4F-AB6D-07C168E01556}" name="Producto" dataDxfId="43"/>
    <tableColumn id="4" xr3:uid="{3871EB62-426D-CF46-8DCF-E986498D749E}" name="Valor (USD)" dataDxfId="4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7B277D-AFE3-5349-9BCE-17D313D9E597}" name="D2_PQ_Exportaciones9" displayName="D2_PQ_Exportaciones9" ref="A1:D6" tableType="queryTable" totalsRowShown="0">
  <autoFilter ref="A1:D6" xr:uid="{5C7B277D-AFE3-5349-9BCE-17D313D9E597}"/>
  <tableColumns count="4">
    <tableColumn id="1" xr3:uid="{1B852B2D-9FA1-E843-9E31-AA3069581B1C}" uniqueName="1" name="País" queryTableFieldId="1" dataDxfId="41"/>
    <tableColumn id="2" xr3:uid="{C6A94438-431D-0949-9439-CBA744EB6CDD}" uniqueName="2" name="Producto" queryTableFieldId="2" dataDxfId="40"/>
    <tableColumn id="3" xr3:uid="{52A6974B-1BB1-8F41-A4E8-FF9F5F9CC641}" uniqueName="3" name="Valor (USD)" queryTableFieldId="3"/>
    <tableColumn id="4" xr3:uid="{DF21DAEE-5F2C-9C49-B4E7-0A0ED9524037}" uniqueName="4" name="Año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62E618-EE06-4542-B0BA-1097CAFFCB7E}" name="D2_PQ_Combinada" displayName="D2_PQ_Combinada" ref="A1:D13" tableType="queryTable" totalsRowShown="0">
  <autoFilter ref="A1:D13" xr:uid="{5C62E618-EE06-4542-B0BA-1097CAFFCB7E}"/>
  <tableColumns count="4">
    <tableColumn id="1" xr3:uid="{CEA645CE-7627-2643-BFCB-C7D37AD84083}" uniqueName="1" name="País" queryTableFieldId="1" dataDxfId="39"/>
    <tableColumn id="2" xr3:uid="{16CDA325-9E60-FC44-AC50-28E6D0CC1807}" uniqueName="2" name="Producto" queryTableFieldId="2" dataDxfId="38"/>
    <tableColumn id="3" xr3:uid="{D31C7BAD-80BD-754A-BB1C-182FC2CFCDB3}" uniqueName="3" name="Valor (USD)" queryTableFieldId="3"/>
    <tableColumn id="4" xr3:uid="{28979EBB-78A8-8B45-9B59-6DFB3E19B857}" uniqueName="4" name="Añ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32BF-0E98-B54C-8A23-B707F4496248}">
  <dimension ref="A1:E7"/>
  <sheetViews>
    <sheetView workbookViewId="0"/>
  </sheetViews>
  <sheetFormatPr baseColWidth="10" defaultRowHeight="16"/>
  <cols>
    <col min="1" max="1" width="11.1640625" bestFit="1" customWidth="1"/>
    <col min="2" max="2" width="8.6640625" bestFit="1" customWidth="1"/>
    <col min="3" max="3" width="11.33203125" bestFit="1" customWidth="1"/>
    <col min="4" max="4" width="15.83203125" bestFit="1" customWidth="1"/>
    <col min="5" max="5" width="8.6640625" bestFit="1" customWidth="1"/>
  </cols>
  <sheetData>
    <row r="1" spans="1:5">
      <c r="A1" t="s">
        <v>1</v>
      </c>
      <c r="B1" t="s">
        <v>0</v>
      </c>
      <c r="C1" t="s">
        <v>53</v>
      </c>
      <c r="D1" t="s">
        <v>94</v>
      </c>
      <c r="E1" t="s">
        <v>95</v>
      </c>
    </row>
    <row r="2" spans="1:5">
      <c r="A2" s="55" t="s">
        <v>5</v>
      </c>
      <c r="B2" s="55" t="s">
        <v>6</v>
      </c>
      <c r="C2">
        <v>300</v>
      </c>
      <c r="D2">
        <v>10</v>
      </c>
      <c r="E2" s="56">
        <v>45017</v>
      </c>
    </row>
    <row r="3" spans="1:5">
      <c r="A3" s="55" t="s">
        <v>19</v>
      </c>
      <c r="B3" s="55" t="s">
        <v>4</v>
      </c>
      <c r="C3">
        <v>200</v>
      </c>
      <c r="D3">
        <v>12</v>
      </c>
      <c r="E3" s="56">
        <v>45021</v>
      </c>
    </row>
    <row r="4" spans="1:5">
      <c r="A4" s="55" t="s">
        <v>5</v>
      </c>
      <c r="B4" s="55" t="s">
        <v>7</v>
      </c>
      <c r="C4">
        <v>400</v>
      </c>
      <c r="D4">
        <v>15</v>
      </c>
      <c r="E4" s="56">
        <v>45022</v>
      </c>
    </row>
    <row r="5" spans="1:5">
      <c r="A5" s="55" t="s">
        <v>18</v>
      </c>
      <c r="B5" s="55" t="s">
        <v>17</v>
      </c>
      <c r="C5">
        <v>350</v>
      </c>
      <c r="D5">
        <v>9</v>
      </c>
      <c r="E5" s="56">
        <v>45026</v>
      </c>
    </row>
    <row r="6" spans="1:5">
      <c r="A6" s="55" t="s">
        <v>11</v>
      </c>
      <c r="B6" s="55" t="s">
        <v>10</v>
      </c>
      <c r="C6">
        <v>250</v>
      </c>
      <c r="D6">
        <v>20</v>
      </c>
      <c r="E6" s="56">
        <v>45028</v>
      </c>
    </row>
    <row r="7" spans="1:5">
      <c r="A7" s="55" t="s">
        <v>5</v>
      </c>
      <c r="B7" s="55" t="s">
        <v>14</v>
      </c>
      <c r="C7">
        <v>150</v>
      </c>
      <c r="D7">
        <v>11</v>
      </c>
      <c r="E7" s="56">
        <v>45031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38DD-5711-444B-9BDA-20BD762C53ED}">
  <dimension ref="A1:D6"/>
  <sheetViews>
    <sheetView workbookViewId="0">
      <selection activeCell="A2" sqref="A2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55000</v>
      </c>
      <c r="D2">
        <v>2023</v>
      </c>
    </row>
    <row r="3" spans="1:4">
      <c r="A3" t="s">
        <v>6</v>
      </c>
      <c r="B3" t="s">
        <v>5</v>
      </c>
      <c r="C3">
        <v>50000</v>
      </c>
      <c r="D3">
        <v>2023</v>
      </c>
    </row>
    <row r="4" spans="1:4">
      <c r="A4" t="s">
        <v>7</v>
      </c>
      <c r="B4" t="s">
        <v>5</v>
      </c>
      <c r="C4">
        <v>95000</v>
      </c>
      <c r="D4">
        <v>2023</v>
      </c>
    </row>
    <row r="5" spans="1:4">
      <c r="A5" t="s">
        <v>8</v>
      </c>
      <c r="B5" t="s">
        <v>5</v>
      </c>
      <c r="C5">
        <v>43000</v>
      </c>
      <c r="D5">
        <v>2023</v>
      </c>
    </row>
    <row r="6" spans="1:4">
      <c r="A6" t="s">
        <v>9</v>
      </c>
      <c r="B6" t="s">
        <v>5</v>
      </c>
      <c r="C6">
        <v>47500</v>
      </c>
      <c r="D6">
        <v>2023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6226-4208-D240-922B-AD2FC40F9F2C}">
  <dimension ref="A1:D13"/>
  <sheetViews>
    <sheetView workbookViewId="0">
      <selection activeCell="L12" sqref="L12"/>
    </sheetView>
  </sheetViews>
  <sheetFormatPr baseColWidth="10" defaultRowHeight="16"/>
  <cols>
    <col min="2" max="2" width="11.1640625" bestFit="1" customWidth="1"/>
    <col min="3" max="3" width="13.1640625" bestFit="1" customWidth="1"/>
    <col min="4" max="4" width="6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10</v>
      </c>
      <c r="B2" t="s">
        <v>11</v>
      </c>
      <c r="C2">
        <v>15000</v>
      </c>
      <c r="D2">
        <v>2021</v>
      </c>
    </row>
    <row r="3" spans="1:4">
      <c r="A3" t="s">
        <v>6</v>
      </c>
      <c r="B3" t="s">
        <v>5</v>
      </c>
      <c r="C3">
        <v>12000</v>
      </c>
      <c r="D3">
        <v>2021</v>
      </c>
    </row>
    <row r="4" spans="1:4">
      <c r="A4" t="s">
        <v>12</v>
      </c>
      <c r="B4" t="s">
        <v>5</v>
      </c>
      <c r="C4">
        <v>10000</v>
      </c>
      <c r="D4">
        <v>2021</v>
      </c>
    </row>
    <row r="5" spans="1:4">
      <c r="A5" t="s">
        <v>4</v>
      </c>
      <c r="B5" t="s">
        <v>13</v>
      </c>
      <c r="C5">
        <v>8000</v>
      </c>
      <c r="D5">
        <v>2021</v>
      </c>
    </row>
    <row r="6" spans="1:4">
      <c r="A6" t="s">
        <v>14</v>
      </c>
      <c r="B6" t="s">
        <v>5</v>
      </c>
      <c r="C6">
        <v>7000</v>
      </c>
      <c r="D6">
        <v>2021</v>
      </c>
    </row>
    <row r="7" spans="1:4">
      <c r="A7" t="s">
        <v>15</v>
      </c>
      <c r="B7" t="s">
        <v>5</v>
      </c>
      <c r="C7">
        <v>9500</v>
      </c>
      <c r="D7">
        <v>2021</v>
      </c>
    </row>
    <row r="8" spans="1:4">
      <c r="A8" t="s">
        <v>16</v>
      </c>
      <c r="B8" t="s">
        <v>5</v>
      </c>
      <c r="C8">
        <v>19500</v>
      </c>
      <c r="D8">
        <v>2023</v>
      </c>
    </row>
    <row r="9" spans="1:4">
      <c r="A9" t="s">
        <v>10</v>
      </c>
      <c r="B9" t="s">
        <v>11</v>
      </c>
      <c r="C9">
        <v>20000</v>
      </c>
      <c r="D9">
        <v>2023</v>
      </c>
    </row>
    <row r="10" spans="1:4">
      <c r="A10" t="s">
        <v>7</v>
      </c>
      <c r="B10" t="s">
        <v>5</v>
      </c>
      <c r="C10">
        <v>25000</v>
      </c>
      <c r="D10">
        <v>2023</v>
      </c>
    </row>
    <row r="11" spans="1:4">
      <c r="A11" t="s">
        <v>14</v>
      </c>
      <c r="B11" t="s">
        <v>5</v>
      </c>
      <c r="C11">
        <v>15000</v>
      </c>
      <c r="D11">
        <v>2023</v>
      </c>
    </row>
    <row r="12" spans="1:4">
      <c r="A12" t="s">
        <v>17</v>
      </c>
      <c r="B12" t="s">
        <v>18</v>
      </c>
      <c r="C12">
        <v>13000</v>
      </c>
      <c r="D12">
        <v>2023</v>
      </c>
    </row>
    <row r="13" spans="1:4">
      <c r="A13" t="s">
        <v>6</v>
      </c>
      <c r="B13" t="s">
        <v>19</v>
      </c>
      <c r="C13">
        <v>11000</v>
      </c>
      <c r="D13">
        <v>2023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796D-05BB-064C-B4A1-EBC6421B1E16}">
  <dimension ref="A1:D7"/>
  <sheetViews>
    <sheetView workbookViewId="0">
      <selection activeCell="E17" sqref="E17"/>
    </sheetView>
  </sheetViews>
  <sheetFormatPr baseColWidth="10" defaultRowHeight="16"/>
  <cols>
    <col min="2" max="2" width="11" customWidth="1"/>
    <col min="3" max="3" width="13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16</v>
      </c>
      <c r="B2" s="4" t="s">
        <v>5</v>
      </c>
      <c r="C2" s="4">
        <v>19500</v>
      </c>
      <c r="D2" s="4">
        <v>2023</v>
      </c>
    </row>
    <row r="3" spans="1:4">
      <c r="A3" s="4" t="s">
        <v>10</v>
      </c>
      <c r="B3" s="4" t="s">
        <v>11</v>
      </c>
      <c r="C3" s="4">
        <v>20000</v>
      </c>
      <c r="D3" s="4">
        <v>2023</v>
      </c>
    </row>
    <row r="4" spans="1:4">
      <c r="A4" s="4" t="s">
        <v>7</v>
      </c>
      <c r="B4" s="4" t="s">
        <v>5</v>
      </c>
      <c r="C4" s="4">
        <v>25000</v>
      </c>
      <c r="D4" s="4">
        <v>2023</v>
      </c>
    </row>
    <row r="5" spans="1:4">
      <c r="A5" s="4" t="s">
        <v>14</v>
      </c>
      <c r="B5" s="4" t="s">
        <v>5</v>
      </c>
      <c r="C5" s="4">
        <v>15000</v>
      </c>
      <c r="D5" s="4">
        <v>2023</v>
      </c>
    </row>
    <row r="6" spans="1:4">
      <c r="A6" s="4" t="s">
        <v>17</v>
      </c>
      <c r="B6" s="4" t="s">
        <v>18</v>
      </c>
      <c r="C6" s="4">
        <v>13000</v>
      </c>
      <c r="D6" s="4">
        <v>2023</v>
      </c>
    </row>
    <row r="7" spans="1:4">
      <c r="A7" s="4" t="s">
        <v>6</v>
      </c>
      <c r="B7" s="4" t="s">
        <v>19</v>
      </c>
      <c r="C7" s="4">
        <v>11000</v>
      </c>
      <c r="D7" s="4">
        <v>2023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F804-9B6A-6B42-809F-1387C03650BF}">
  <dimension ref="A1:D7"/>
  <sheetViews>
    <sheetView workbookViewId="0">
      <selection activeCell="C4" sqref="C4"/>
    </sheetView>
  </sheetViews>
  <sheetFormatPr baseColWidth="10" defaultRowHeight="16"/>
  <cols>
    <col min="2" max="2" width="11" customWidth="1"/>
    <col min="3" max="3" width="13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10</v>
      </c>
      <c r="B2" s="4" t="s">
        <v>11</v>
      </c>
      <c r="C2" s="4">
        <v>15000</v>
      </c>
      <c r="D2" s="4">
        <v>2021</v>
      </c>
    </row>
    <row r="3" spans="1:4">
      <c r="A3" s="4" t="s">
        <v>6</v>
      </c>
      <c r="B3" s="4" t="s">
        <v>5</v>
      </c>
      <c r="C3" s="4">
        <v>12000</v>
      </c>
      <c r="D3" s="4">
        <v>2021</v>
      </c>
    </row>
    <row r="4" spans="1:4">
      <c r="A4" s="4" t="s">
        <v>12</v>
      </c>
      <c r="B4" s="4" t="s">
        <v>5</v>
      </c>
      <c r="C4" s="4">
        <v>10000</v>
      </c>
      <c r="D4" s="4">
        <v>2021</v>
      </c>
    </row>
    <row r="5" spans="1:4">
      <c r="A5" s="4" t="s">
        <v>4</v>
      </c>
      <c r="B5" s="4" t="s">
        <v>13</v>
      </c>
      <c r="C5" s="4">
        <v>8000</v>
      </c>
      <c r="D5" s="4">
        <v>2021</v>
      </c>
    </row>
    <row r="6" spans="1:4">
      <c r="A6" s="4" t="s">
        <v>14</v>
      </c>
      <c r="B6" s="4" t="s">
        <v>5</v>
      </c>
      <c r="C6" s="4">
        <v>7000</v>
      </c>
      <c r="D6" s="4">
        <v>2021</v>
      </c>
    </row>
    <row r="7" spans="1:4">
      <c r="A7" s="4" t="s">
        <v>15</v>
      </c>
      <c r="B7" s="4" t="s">
        <v>5</v>
      </c>
      <c r="C7" s="4">
        <v>9500</v>
      </c>
      <c r="D7" s="4">
        <v>2021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7C47-6492-CB4F-A920-EC6445340FCE}">
  <dimension ref="A1:D6"/>
  <sheetViews>
    <sheetView workbookViewId="0">
      <selection sqref="A1:K19"/>
    </sheetView>
  </sheetViews>
  <sheetFormatPr baseColWidth="10" defaultRowHeight="16"/>
  <cols>
    <col min="1" max="1" width="8.6640625" bestFit="1" customWidth="1"/>
    <col min="2" max="2" width="11.1640625" bestFit="1" customWidth="1"/>
    <col min="3" max="3" width="13.1640625" bestFit="1" customWidth="1"/>
    <col min="4" max="4" width="6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55000</v>
      </c>
      <c r="D2">
        <v>2023</v>
      </c>
    </row>
    <row r="3" spans="1:4">
      <c r="A3" t="s">
        <v>6</v>
      </c>
      <c r="B3" t="s">
        <v>5</v>
      </c>
      <c r="C3">
        <v>50000</v>
      </c>
      <c r="D3">
        <v>2023</v>
      </c>
    </row>
    <row r="4" spans="1:4">
      <c r="A4" t="s">
        <v>7</v>
      </c>
      <c r="B4" t="s">
        <v>5</v>
      </c>
      <c r="C4">
        <v>95000</v>
      </c>
      <c r="D4">
        <v>2023</v>
      </c>
    </row>
    <row r="5" spans="1:4">
      <c r="A5" t="s">
        <v>8</v>
      </c>
      <c r="B5" t="s">
        <v>5</v>
      </c>
      <c r="C5">
        <v>43000</v>
      </c>
      <c r="D5">
        <v>2023</v>
      </c>
    </row>
    <row r="6" spans="1:4">
      <c r="A6" t="s">
        <v>9</v>
      </c>
      <c r="B6" t="s">
        <v>5</v>
      </c>
      <c r="C6">
        <v>47500</v>
      </c>
      <c r="D6">
        <v>2023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894-C42E-8F42-8B10-F843B487B238}">
  <dimension ref="A1:D6"/>
  <sheetViews>
    <sheetView workbookViewId="0">
      <selection activeCell="I10" sqref="I10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>
        <v>55000</v>
      </c>
      <c r="D2" s="2">
        <v>2023</v>
      </c>
    </row>
    <row r="3" spans="1:4">
      <c r="A3" s="2" t="s">
        <v>6</v>
      </c>
      <c r="B3" s="2" t="s">
        <v>5</v>
      </c>
      <c r="C3" s="2">
        <v>50000</v>
      </c>
      <c r="D3" s="2">
        <v>2023</v>
      </c>
    </row>
    <row r="4" spans="1:4">
      <c r="A4" s="2" t="s">
        <v>7</v>
      </c>
      <c r="B4" s="2" t="s">
        <v>5</v>
      </c>
      <c r="C4" s="2">
        <v>95000</v>
      </c>
      <c r="D4" s="2">
        <v>2023</v>
      </c>
    </row>
    <row r="5" spans="1:4">
      <c r="A5" s="2" t="s">
        <v>8</v>
      </c>
      <c r="B5" s="2" t="s">
        <v>5</v>
      </c>
      <c r="C5" s="2">
        <v>43000</v>
      </c>
      <c r="D5" s="2">
        <v>2023</v>
      </c>
    </row>
    <row r="6" spans="1:4">
      <c r="A6" s="2" t="s">
        <v>9</v>
      </c>
      <c r="B6" s="2" t="s">
        <v>5</v>
      </c>
      <c r="C6" s="2">
        <v>47500</v>
      </c>
      <c r="D6" s="2">
        <v>2023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69A0-5FC8-A84C-B7BC-E89EA5287253}">
  <dimension ref="A1:C4"/>
  <sheetViews>
    <sheetView workbookViewId="0">
      <selection activeCell="I28" sqref="I28"/>
    </sheetView>
  </sheetViews>
  <sheetFormatPr baseColWidth="10" defaultRowHeight="16"/>
  <cols>
    <col min="1" max="1" width="8.6640625" bestFit="1" customWidth="1"/>
    <col min="2" max="2" width="11.1640625" bestFit="1" customWidth="1"/>
    <col min="3" max="3" width="13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7</v>
      </c>
      <c r="B2" t="s">
        <v>5</v>
      </c>
      <c r="C2">
        <v>80000</v>
      </c>
    </row>
    <row r="3" spans="1:3">
      <c r="A3" t="s">
        <v>4</v>
      </c>
      <c r="B3" t="s">
        <v>5</v>
      </c>
      <c r="C3">
        <v>50000</v>
      </c>
    </row>
    <row r="4" spans="1:3">
      <c r="A4" t="s">
        <v>6</v>
      </c>
      <c r="B4" t="s">
        <v>5</v>
      </c>
      <c r="C4">
        <v>45000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376E-7157-ED47-80E1-C4E4B37BB088}">
  <dimension ref="A1:D6"/>
  <sheetViews>
    <sheetView workbookViewId="0">
      <selection sqref="A1:D6"/>
    </sheetView>
  </sheetViews>
  <sheetFormatPr baseColWidth="10" defaultRowHeight="16"/>
  <cols>
    <col min="2" max="2" width="11" customWidth="1"/>
    <col min="3" max="3" width="1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>
        <v>50000</v>
      </c>
      <c r="D2" s="2">
        <v>2023</v>
      </c>
    </row>
    <row r="3" spans="1:4">
      <c r="A3" s="2" t="s">
        <v>6</v>
      </c>
      <c r="B3" s="2" t="s">
        <v>5</v>
      </c>
      <c r="C3" s="2">
        <v>45000</v>
      </c>
      <c r="D3" s="2">
        <v>2023</v>
      </c>
    </row>
    <row r="4" spans="1:4">
      <c r="A4" s="2" t="s">
        <v>7</v>
      </c>
      <c r="B4" s="2" t="s">
        <v>5</v>
      </c>
      <c r="C4" s="2">
        <v>80000</v>
      </c>
      <c r="D4" s="2">
        <v>2023</v>
      </c>
    </row>
    <row r="5" spans="1:4">
      <c r="A5" s="2" t="s">
        <v>8</v>
      </c>
      <c r="B5" s="2" t="s">
        <v>5</v>
      </c>
      <c r="C5" s="2">
        <v>38000</v>
      </c>
      <c r="D5" s="2">
        <v>2023</v>
      </c>
    </row>
    <row r="6" spans="1:4">
      <c r="A6" s="2" t="s">
        <v>9</v>
      </c>
      <c r="B6" s="2" t="s">
        <v>5</v>
      </c>
      <c r="C6" s="2">
        <v>42500</v>
      </c>
      <c r="D6" s="2">
        <v>2023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F0A6-D9FC-9A4E-ADD7-6F055554F8E0}">
  <sheetPr>
    <outlinePr summaryBelow="0"/>
  </sheetPr>
  <dimension ref="B1:G15"/>
  <sheetViews>
    <sheetView showGridLines="0" tabSelected="1" workbookViewId="0"/>
  </sheetViews>
  <sheetFormatPr baseColWidth="10" defaultRowHeight="16" outlineLevelRow="1" outlineLevelCol="1"/>
  <cols>
    <col min="3" max="3" width="6.5" bestFit="1" customWidth="1"/>
    <col min="4" max="7" width="13.6640625" bestFit="1" customWidth="1" outlineLevel="1"/>
  </cols>
  <sheetData>
    <row r="1" spans="2:7" ht="17" thickBot="1"/>
    <row r="2" spans="2:7" ht="19">
      <c r="B2" s="34" t="s">
        <v>87</v>
      </c>
      <c r="C2" s="34"/>
      <c r="D2" s="39"/>
      <c r="E2" s="39"/>
      <c r="F2" s="39"/>
      <c r="G2" s="39"/>
    </row>
    <row r="3" spans="2:7" ht="19" collapsed="1">
      <c r="B3" s="33"/>
      <c r="C3" s="33"/>
      <c r="D3" s="40" t="s">
        <v>89</v>
      </c>
      <c r="E3" s="40" t="s">
        <v>82</v>
      </c>
      <c r="F3" s="40" t="s">
        <v>84</v>
      </c>
      <c r="G3" s="40" t="s">
        <v>85</v>
      </c>
    </row>
    <row r="4" spans="2:7" ht="48" hidden="1" outlineLevel="1">
      <c r="B4" s="36"/>
      <c r="C4" s="36"/>
      <c r="E4" s="42" t="s">
        <v>83</v>
      </c>
      <c r="F4" s="42" t="s">
        <v>83</v>
      </c>
      <c r="G4" s="42" t="s">
        <v>86</v>
      </c>
    </row>
    <row r="5" spans="2:7">
      <c r="B5" s="37" t="s">
        <v>88</v>
      </c>
      <c r="C5" s="37"/>
      <c r="D5" s="35"/>
      <c r="E5" s="35"/>
      <c r="F5" s="35"/>
      <c r="G5" s="35"/>
    </row>
    <row r="6" spans="2:7" outlineLevel="1">
      <c r="B6" s="36"/>
      <c r="C6" s="36" t="s">
        <v>76</v>
      </c>
      <c r="D6" s="31">
        <v>-4.9058702372180498E-15</v>
      </c>
      <c r="E6" s="41">
        <v>-4.9058702372180498E-15</v>
      </c>
      <c r="F6" s="41">
        <v>0</v>
      </c>
      <c r="G6" s="41">
        <v>300</v>
      </c>
    </row>
    <row r="7" spans="2:7" outlineLevel="1">
      <c r="B7" s="36"/>
      <c r="C7" s="36" t="s">
        <v>77</v>
      </c>
      <c r="D7" s="31">
        <v>0</v>
      </c>
      <c r="E7" s="41">
        <v>0</v>
      </c>
      <c r="F7" s="41">
        <v>0</v>
      </c>
      <c r="G7" s="41">
        <v>400</v>
      </c>
    </row>
    <row r="8" spans="2:7" outlineLevel="1">
      <c r="B8" s="36"/>
      <c r="C8" s="36" t="s">
        <v>78</v>
      </c>
      <c r="D8" s="31">
        <v>-5.0145652202586902E-15</v>
      </c>
      <c r="E8" s="41">
        <v>-5.0145652202586902E-15</v>
      </c>
      <c r="F8" s="41">
        <v>0</v>
      </c>
      <c r="G8" s="41">
        <v>0</v>
      </c>
    </row>
    <row r="9" spans="2:7" outlineLevel="1">
      <c r="B9" s="36"/>
      <c r="C9" s="36" t="s">
        <v>79</v>
      </c>
      <c r="D9" s="31">
        <v>0</v>
      </c>
      <c r="E9" s="41">
        <v>0</v>
      </c>
      <c r="F9" s="41">
        <v>0</v>
      </c>
      <c r="G9" s="41">
        <v>300</v>
      </c>
    </row>
    <row r="10" spans="2:7" outlineLevel="1">
      <c r="B10" s="36"/>
      <c r="C10" s="36" t="s">
        <v>80</v>
      </c>
      <c r="D10" s="31">
        <v>1000</v>
      </c>
      <c r="E10" s="41">
        <v>1000</v>
      </c>
      <c r="F10" s="41">
        <v>800</v>
      </c>
      <c r="G10" s="41">
        <v>0</v>
      </c>
    </row>
    <row r="11" spans="2:7">
      <c r="B11" s="37" t="s">
        <v>90</v>
      </c>
      <c r="C11" s="37"/>
      <c r="D11" s="35"/>
      <c r="E11" s="35"/>
      <c r="F11" s="35"/>
      <c r="G11" s="35"/>
    </row>
    <row r="12" spans="2:7" ht="17" outlineLevel="1" thickBot="1">
      <c r="B12" s="38"/>
      <c r="C12" s="38" t="s">
        <v>81</v>
      </c>
      <c r="D12" s="32">
        <v>4000</v>
      </c>
      <c r="E12" s="32">
        <v>4000</v>
      </c>
      <c r="F12" s="32">
        <v>4000</v>
      </c>
      <c r="G12" s="32">
        <v>4000</v>
      </c>
    </row>
    <row r="13" spans="2:7">
      <c r="B13" t="s">
        <v>91</v>
      </c>
    </row>
    <row r="14" spans="2:7">
      <c r="B14" t="s">
        <v>92</v>
      </c>
    </row>
    <row r="15" spans="2:7">
      <c r="B15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0D6C-5F66-244E-A064-0A99CC54D153}">
  <dimension ref="B3:I13"/>
  <sheetViews>
    <sheetView workbookViewId="0">
      <selection activeCell="H13" sqref="H13"/>
    </sheetView>
  </sheetViews>
  <sheetFormatPr baseColWidth="10" defaultRowHeight="16"/>
  <cols>
    <col min="2" max="2" width="11" customWidth="1"/>
    <col min="4" max="4" width="18.1640625" customWidth="1"/>
    <col min="5" max="5" width="20.6640625" customWidth="1"/>
    <col min="6" max="6" width="19.6640625" customWidth="1"/>
    <col min="7" max="7" width="23.1640625" customWidth="1"/>
  </cols>
  <sheetData>
    <row r="3" spans="2:9">
      <c r="B3" s="27" t="s">
        <v>1</v>
      </c>
      <c r="C3" s="27" t="s">
        <v>0</v>
      </c>
      <c r="D3" s="27" t="s">
        <v>65</v>
      </c>
      <c r="E3" s="27" t="s">
        <v>66</v>
      </c>
      <c r="F3" s="27" t="s">
        <v>67</v>
      </c>
      <c r="G3" s="27" t="s">
        <v>69</v>
      </c>
    </row>
    <row r="4" spans="2:9">
      <c r="B4" s="28" t="s">
        <v>5</v>
      </c>
      <c r="C4" s="28" t="s">
        <v>6</v>
      </c>
      <c r="D4" s="28">
        <v>5</v>
      </c>
      <c r="E4" s="28">
        <v>2</v>
      </c>
      <c r="F4" s="30">
        <v>-4.9058702372180498E-15</v>
      </c>
      <c r="G4" s="30">
        <f>TablaExportación[[#This Row],[Unidades a exportar]] * TablaExportación[[#This Row],[Beneficio unitario (€)]]</f>
        <v>-9.8117404744360996E-15</v>
      </c>
    </row>
    <row r="5" spans="2:9">
      <c r="B5" s="28" t="s">
        <v>5</v>
      </c>
      <c r="C5" s="28" t="s">
        <v>4</v>
      </c>
      <c r="D5" s="28">
        <v>6</v>
      </c>
      <c r="E5" s="28">
        <v>2.5</v>
      </c>
      <c r="F5" s="30">
        <v>0</v>
      </c>
      <c r="G5" s="30">
        <f>TablaExportación[[#This Row],[Unidades a exportar]] * TablaExportación[[#This Row],[Beneficio unitario (€)]]</f>
        <v>0</v>
      </c>
    </row>
    <row r="6" spans="2:9">
      <c r="B6" s="28" t="s">
        <v>5</v>
      </c>
      <c r="C6" s="28" t="s">
        <v>17</v>
      </c>
      <c r="D6" s="28">
        <v>7</v>
      </c>
      <c r="E6" s="28">
        <v>3</v>
      </c>
      <c r="F6" s="30">
        <v>-5.0145652202586902E-15</v>
      </c>
      <c r="G6" s="30">
        <f>TablaExportación[[#This Row],[Unidades a exportar]] * TablaExportación[[#This Row],[Beneficio unitario (€)]]</f>
        <v>-1.5043695660776071E-14</v>
      </c>
    </row>
    <row r="7" spans="2:9">
      <c r="B7" s="28" t="s">
        <v>5</v>
      </c>
      <c r="C7" s="28" t="s">
        <v>14</v>
      </c>
      <c r="D7" s="28">
        <v>4.5</v>
      </c>
      <c r="E7" s="28">
        <v>1.8</v>
      </c>
      <c r="F7" s="30">
        <v>0</v>
      </c>
      <c r="G7" s="30">
        <f>TablaExportación[[#This Row],[Unidades a exportar]] * TablaExportación[[#This Row],[Beneficio unitario (€)]]</f>
        <v>0</v>
      </c>
    </row>
    <row r="8" spans="2:9">
      <c r="B8" s="28" t="s">
        <v>5</v>
      </c>
      <c r="C8" s="28" t="s">
        <v>7</v>
      </c>
      <c r="D8" s="28">
        <v>8</v>
      </c>
      <c r="E8" s="28">
        <v>4</v>
      </c>
      <c r="F8" s="30">
        <v>1000</v>
      </c>
      <c r="G8" s="30">
        <f>TablaExportación[[#This Row],[Unidades a exportar]] * TablaExportación[[#This Row],[Beneficio unitario (€)]]</f>
        <v>4000</v>
      </c>
    </row>
    <row r="10" spans="2:9">
      <c r="B10" t="s">
        <v>68</v>
      </c>
      <c r="G10" s="1" t="s">
        <v>70</v>
      </c>
      <c r="H10" s="6">
        <f>SUM(TablaExportación[Beneficio por país (€)])</f>
        <v>4000</v>
      </c>
      <c r="I10" t="s">
        <v>71</v>
      </c>
    </row>
    <row r="11" spans="2:9">
      <c r="G11" s="6"/>
      <c r="H11" s="6"/>
    </row>
    <row r="12" spans="2:9">
      <c r="G12" s="1" t="s">
        <v>72</v>
      </c>
      <c r="H12" s="6">
        <v>1000</v>
      </c>
      <c r="I12" t="s">
        <v>73</v>
      </c>
    </row>
    <row r="13" spans="2:9">
      <c r="G13" s="29" t="s">
        <v>75</v>
      </c>
      <c r="H13" s="6">
        <f>SUM(TablaExportación[Unidades a exportar])</f>
        <v>1000</v>
      </c>
      <c r="I13" t="s">
        <v>74</v>
      </c>
    </row>
  </sheetData>
  <scenarios current="1" show="0" sqref="H10">
    <scenario name="Base Solver" locked="1" count="5" user="Belén Llatas Beny" comment="Creado por Belén Llatas Beny el 5/6/2025">
      <inputCells r="F4" val="-4.90587023721805E-15" numFmtId="1"/>
      <inputCells r="F5" val="0" numFmtId="1"/>
      <inputCells r="F6" val="-5.01456522025869E-15" numFmtId="1"/>
      <inputCells r="F7" val="0" numFmtId="1"/>
      <inputCells r="F8" val="1000" numFmtId="1"/>
    </scenario>
    <scenario name="Límite 800" locked="1" count="5" user="Belén Llatas Beny" comment="Creado por Belén Llatas Beny el 5/6/2025">
      <inputCells r="F4" val="0" numFmtId="1"/>
      <inputCells r="F5" val="0" numFmtId="1"/>
      <inputCells r="F6" val="0" numFmtId="1"/>
      <inputCells r="F7" val="0" numFmtId="1"/>
      <inputCells r="F8" val="800" numFmtId="1"/>
    </scenario>
    <scenario name="Solo Europa" locked="1" count="5" user="Belén Llatas Beny" comment="Creado por Belén Llatas Beny el 5/6/2025_x000a_Modificado por Belén Llatas Beny el 5/6/2025">
      <inputCells r="F4" val="300" numFmtId="1"/>
      <inputCells r="F5" val="400" numFmtId="1"/>
      <inputCells r="F6" val="0" numFmtId="1"/>
      <inputCells r="F7" val="300" numFmtId="1"/>
      <inputCells r="F8" val="0" numFmtId="1"/>
    </scenario>
  </scenario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3566-16C0-6A44-932A-29078F2238F3}">
  <dimension ref="B1:I23"/>
  <sheetViews>
    <sheetView zoomScaleNormal="150" workbookViewId="0">
      <selection activeCell="M21" sqref="M21"/>
    </sheetView>
  </sheetViews>
  <sheetFormatPr baseColWidth="10" defaultRowHeight="16"/>
  <cols>
    <col min="2" max="2" width="11" customWidth="1"/>
    <col min="4" max="4" width="11.1640625" customWidth="1"/>
    <col min="5" max="5" width="11.83203125" customWidth="1"/>
    <col min="6" max="6" width="16" customWidth="1"/>
  </cols>
  <sheetData>
    <row r="1" spans="2:9">
      <c r="H1" t="s">
        <v>56</v>
      </c>
    </row>
    <row r="2" spans="2:9">
      <c r="H2" t="s">
        <v>57</v>
      </c>
    </row>
    <row r="3" spans="2:9">
      <c r="B3" s="27" t="s">
        <v>1</v>
      </c>
      <c r="C3" s="27" t="s">
        <v>0</v>
      </c>
      <c r="D3" s="27" t="s">
        <v>53</v>
      </c>
      <c r="E3" s="27" t="s">
        <v>54</v>
      </c>
      <c r="F3" s="27" t="s">
        <v>55</v>
      </c>
    </row>
    <row r="4" spans="2:9">
      <c r="B4" s="28" t="s">
        <v>11</v>
      </c>
      <c r="C4" s="28" t="s">
        <v>10</v>
      </c>
      <c r="D4" s="28">
        <v>300</v>
      </c>
      <c r="E4" s="28" t="s">
        <v>56</v>
      </c>
      <c r="F4" s="28">
        <v>0</v>
      </c>
    </row>
    <row r="5" spans="2:9">
      <c r="B5" s="28" t="s">
        <v>5</v>
      </c>
      <c r="C5" s="28" t="s">
        <v>12</v>
      </c>
      <c r="D5" s="28">
        <v>200</v>
      </c>
      <c r="E5" s="28" t="s">
        <v>57</v>
      </c>
      <c r="F5" s="28">
        <v>3</v>
      </c>
    </row>
    <row r="6" spans="2:9">
      <c r="B6" s="28" t="s">
        <v>13</v>
      </c>
      <c r="C6" s="28" t="s">
        <v>4</v>
      </c>
      <c r="D6" s="28">
        <v>150</v>
      </c>
      <c r="E6" s="28" t="s">
        <v>56</v>
      </c>
      <c r="F6" s="28">
        <v>0</v>
      </c>
    </row>
    <row r="7" spans="2:9">
      <c r="B7" s="28" t="s">
        <v>19</v>
      </c>
      <c r="C7" s="28" t="s">
        <v>6</v>
      </c>
      <c r="D7" s="28">
        <v>500</v>
      </c>
      <c r="E7" s="28" t="s">
        <v>57</v>
      </c>
      <c r="F7" s="28">
        <v>5</v>
      </c>
    </row>
    <row r="8" spans="2:9">
      <c r="B8" s="28" t="s">
        <v>18</v>
      </c>
      <c r="C8" s="28" t="s">
        <v>17</v>
      </c>
      <c r="D8" s="28">
        <v>180</v>
      </c>
      <c r="E8" s="28" t="s">
        <v>56</v>
      </c>
      <c r="F8" s="28">
        <v>1</v>
      </c>
    </row>
    <row r="9" spans="2:9">
      <c r="B9" s="28" t="s">
        <v>5</v>
      </c>
      <c r="C9" s="28" t="s">
        <v>7</v>
      </c>
      <c r="D9" s="28">
        <v>90</v>
      </c>
      <c r="E9" s="28" t="s">
        <v>57</v>
      </c>
      <c r="F9" s="28">
        <v>2</v>
      </c>
    </row>
    <row r="10" spans="2:9">
      <c r="B10" s="28" t="s">
        <v>58</v>
      </c>
      <c r="C10" s="28" t="s">
        <v>14</v>
      </c>
      <c r="D10" s="28">
        <v>250</v>
      </c>
      <c r="E10" s="28" t="s">
        <v>56</v>
      </c>
      <c r="F10" s="28">
        <v>0</v>
      </c>
    </row>
    <row r="13" spans="2:9" ht="19" customHeight="1">
      <c r="B13" s="46" t="s">
        <v>59</v>
      </c>
      <c r="C13" s="47"/>
      <c r="D13" s="47"/>
      <c r="E13" s="47"/>
      <c r="F13" s="47"/>
      <c r="G13" s="47"/>
      <c r="H13" s="47"/>
      <c r="I13" s="48"/>
    </row>
    <row r="14" spans="2:9">
      <c r="B14" s="49" t="s">
        <v>60</v>
      </c>
      <c r="C14" s="50"/>
      <c r="D14" s="50"/>
      <c r="E14" s="50"/>
      <c r="F14" s="50"/>
      <c r="G14" s="50"/>
      <c r="H14" s="50"/>
      <c r="I14" s="51"/>
    </row>
    <row r="15" spans="2:9">
      <c r="B15" s="49" t="s">
        <v>61</v>
      </c>
      <c r="C15" s="50"/>
      <c r="D15" s="50"/>
      <c r="E15" s="50"/>
      <c r="F15" s="50"/>
      <c r="G15" s="50"/>
      <c r="H15" s="50"/>
      <c r="I15" s="51"/>
    </row>
    <row r="16" spans="2:9">
      <c r="B16" s="49" t="s">
        <v>62</v>
      </c>
      <c r="C16" s="50"/>
      <c r="D16" s="50"/>
      <c r="E16" s="50"/>
      <c r="F16" s="50"/>
      <c r="G16" s="50"/>
      <c r="H16" s="50"/>
      <c r="I16" s="51"/>
    </row>
    <row r="17" spans="2:9">
      <c r="B17" s="52" t="s">
        <v>63</v>
      </c>
      <c r="C17" s="53"/>
      <c r="D17" s="53"/>
      <c r="E17" s="53"/>
      <c r="F17" s="53"/>
      <c r="G17" s="53"/>
      <c r="H17" s="53"/>
      <c r="I17" s="54"/>
    </row>
    <row r="18" spans="2:9">
      <c r="B18" s="43" t="s">
        <v>64</v>
      </c>
      <c r="C18" s="44"/>
      <c r="D18" s="44"/>
      <c r="E18" s="44"/>
      <c r="F18" s="44"/>
      <c r="G18" s="44"/>
      <c r="H18" s="44"/>
      <c r="I18" s="45"/>
    </row>
    <row r="19" spans="2:9">
      <c r="B19" s="3"/>
      <c r="C19" s="3"/>
      <c r="D19" s="3"/>
      <c r="E19" s="3"/>
      <c r="F19" s="3"/>
      <c r="G19" s="3"/>
      <c r="H19" s="3"/>
      <c r="I19" s="3"/>
    </row>
    <row r="21" spans="2:9">
      <c r="B21" s="4"/>
      <c r="C21" s="4"/>
      <c r="D21" s="4"/>
      <c r="E21" s="4"/>
      <c r="F21" s="4"/>
      <c r="G21" s="4"/>
      <c r="H21" s="4"/>
      <c r="I21" s="4"/>
    </row>
    <row r="23" spans="2:9">
      <c r="B23" s="4"/>
      <c r="C23" s="4"/>
      <c r="D23" s="4"/>
      <c r="E23" s="4"/>
      <c r="F23" s="4"/>
      <c r="G23" s="4"/>
      <c r="H23" s="4"/>
      <c r="I23" s="4"/>
    </row>
  </sheetData>
  <mergeCells count="6">
    <mergeCell ref="B18:I18"/>
    <mergeCell ref="B13:I13"/>
    <mergeCell ref="B14:I14"/>
    <mergeCell ref="B15:I15"/>
    <mergeCell ref="B16:I16"/>
    <mergeCell ref="B17:I17"/>
  </mergeCells>
  <conditionalFormatting sqref="D4:D10">
    <cfRule type="cellIs" dxfId="9" priority="3" operator="greaterThan">
      <formula>229</formula>
    </cfRule>
  </conditionalFormatting>
  <conditionalFormatting sqref="E4:E10">
    <cfRule type="containsText" dxfId="8" priority="2" operator="containsText" text="No">
      <formula>NOT(ISERROR(SEARCH("No",E4)))</formula>
    </cfRule>
  </conditionalFormatting>
  <conditionalFormatting sqref="F4:F10">
    <cfRule type="cellIs" dxfId="7" priority="1" operator="greaterThan">
      <formula>2</formula>
    </cfRule>
  </conditionalFormatting>
  <dataValidations count="3">
    <dataValidation type="list" allowBlank="1" showInputMessage="1" showErrorMessage="1" errorTitle="Valor no válido" error="Solo se permite “Sí” o “No”. Usa la lista desplegable." promptTitle="Selecciona entrega" prompt="Elige “Sí” o “No” desde la lista desplegable" sqref="E4:E10" xr:uid="{94D4BBE2-CA70-CF4D-B7FF-88228EA4051C}">
      <formula1>$H$1:$H$2</formula1>
    </dataValidation>
    <dataValidation type="whole" allowBlank="1" showInputMessage="1" showErrorMessage="1" promptTitle="Indica el retraso" prompt="Introduce un número entero entre 0 y 10" sqref="F4:F10" xr:uid="{BC0267E1-F9A4-C942-BD32-D5C854BAF6A6}">
      <formula1>0</formula1>
      <formula2>10</formula2>
    </dataValidation>
    <dataValidation type="whole" operator="greaterThan" allowBlank="1" showInputMessage="1" showErrorMessage="1" errorTitle="Cantidad no válida" error="Solo se permiten números mayores que cero" promptTitle="Introduce unidades" prompt="Escribe un número entero mayor que 0" sqref="D4:D10" xr:uid="{AA5B84A1-2C7A-6E49-B501-10B50CCD1E0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FA80D-D9E6-7446-8023-825CE1B6578C}">
  <dimension ref="B3:G26"/>
  <sheetViews>
    <sheetView zoomScale="75" zoomScaleNormal="75" workbookViewId="0">
      <selection activeCell="H14" sqref="H14"/>
    </sheetView>
  </sheetViews>
  <sheetFormatPr baseColWidth="10" defaultRowHeight="16"/>
  <cols>
    <col min="2" max="2" width="26.83203125" customWidth="1"/>
    <col min="3" max="3" width="14.6640625" customWidth="1"/>
    <col min="5" max="5" width="14.5" customWidth="1"/>
    <col min="7" max="7" width="20.83203125" customWidth="1"/>
  </cols>
  <sheetData>
    <row r="3" spans="2:3" ht="34">
      <c r="B3" s="26" t="s">
        <v>52</v>
      </c>
    </row>
    <row r="8" spans="2:3" ht="18">
      <c r="B8" s="25" t="s">
        <v>49</v>
      </c>
    </row>
    <row r="9" spans="2:3">
      <c r="B9" s="18" t="s">
        <v>43</v>
      </c>
      <c r="C9" s="18" t="s">
        <v>44</v>
      </c>
    </row>
    <row r="10" spans="2:3">
      <c r="B10" s="22" t="s">
        <v>45</v>
      </c>
      <c r="C10" s="23">
        <f>MAX(D5_Dashboard!D19:D26)</f>
        <v>51000</v>
      </c>
    </row>
    <row r="11" spans="2:3">
      <c r="B11" s="22" t="s">
        <v>46</v>
      </c>
      <c r="C11" s="24">
        <f>MIN(D5_Dashboard!E19:E26)</f>
        <v>8000</v>
      </c>
    </row>
    <row r="12" spans="2:3">
      <c r="B12" s="19" t="s">
        <v>47</v>
      </c>
      <c r="C12" s="11">
        <f>COUNTIF(D5_Dashboard!F19:F26,"Alto")</f>
        <v>3</v>
      </c>
    </row>
    <row r="13" spans="2:3">
      <c r="B13" s="20" t="s">
        <v>48</v>
      </c>
      <c r="C13" s="21">
        <f>COUNTIF(D5_Dashboard!F19:F26,"Bajo")</f>
        <v>5</v>
      </c>
    </row>
    <row r="16" spans="2:3">
      <c r="B16" t="s">
        <v>51</v>
      </c>
    </row>
    <row r="18" spans="2:7" ht="17">
      <c r="B18" s="9" t="s">
        <v>1</v>
      </c>
      <c r="C18" s="9" t="s">
        <v>0</v>
      </c>
      <c r="D18" s="9" t="s">
        <v>34</v>
      </c>
      <c r="E18" s="9" t="s">
        <v>35</v>
      </c>
      <c r="F18" s="9" t="s">
        <v>36</v>
      </c>
      <c r="G18" s="13" t="s">
        <v>39</v>
      </c>
    </row>
    <row r="19" spans="2:7">
      <c r="B19" s="10" t="s">
        <v>11</v>
      </c>
      <c r="C19" s="10" t="s">
        <v>10</v>
      </c>
      <c r="D19" s="10">
        <f>SUMIFS(TablaFunc[Valor (USD)],TablaFunc[Producto], B19, TablaFunc[País],C19)</f>
        <v>51000</v>
      </c>
      <c r="E19" s="10">
        <f>AVERAGEIFS(TablaFunc[Valor (USD)], TablaFunc[Producto], B19,TablaFunc[País],C19)</f>
        <v>17000</v>
      </c>
      <c r="F19" s="10" t="str">
        <f>IF(E19&gt;=15000, "Alto", "Bajo")</f>
        <v>Alto</v>
      </c>
      <c r="G19" s="10" t="str">
        <f>B19 &amp; " - " &amp; C19</f>
        <v>Aceite - España</v>
      </c>
    </row>
    <row r="20" spans="2:7">
      <c r="B20" s="10" t="s">
        <v>5</v>
      </c>
      <c r="C20" s="10" t="s">
        <v>6</v>
      </c>
      <c r="D20" s="10">
        <f>SUMIFS(TablaFunc[Valor (USD)],TablaFunc[Producto], B20, TablaFunc[País],C20)</f>
        <v>12000</v>
      </c>
      <c r="E20" s="10">
        <f>AVERAGEIFS(TablaFunc[Valor (USD)], TablaFunc[Producto], B20,TablaFunc[País],C20)</f>
        <v>12000</v>
      </c>
      <c r="F20" s="10" t="str">
        <f t="shared" ref="F20:F26" si="0">IF(E20&gt;=15000, "Alto", "Bajo")</f>
        <v>Bajo</v>
      </c>
      <c r="G20" s="10" t="str">
        <f t="shared" ref="G20:G26" si="1">B20 &amp; " - " &amp; C20</f>
        <v>Vino - Francia</v>
      </c>
    </row>
    <row r="21" spans="2:7">
      <c r="B21" s="10" t="s">
        <v>5</v>
      </c>
      <c r="C21" s="10" t="s">
        <v>12</v>
      </c>
      <c r="D21" s="10">
        <f>SUMIFS(TablaFunc[Valor (USD)],TablaFunc[Producto], B21, TablaFunc[País],C21)</f>
        <v>10000</v>
      </c>
      <c r="E21" s="10">
        <f>AVERAGEIFS(TablaFunc[Valor (USD)], TablaFunc[Producto], B21,TablaFunc[País],C21)</f>
        <v>10000</v>
      </c>
      <c r="F21" s="10" t="str">
        <f t="shared" si="0"/>
        <v>Bajo</v>
      </c>
      <c r="G21" s="10" t="str">
        <f t="shared" si="1"/>
        <v>Vino - Italia</v>
      </c>
    </row>
    <row r="22" spans="2:7">
      <c r="B22" s="10" t="s">
        <v>13</v>
      </c>
      <c r="C22" s="10" t="s">
        <v>4</v>
      </c>
      <c r="D22" s="10">
        <f>SUMIFS(TablaFunc[Valor (USD)],TablaFunc[Producto], B22, TablaFunc[País],C22)</f>
        <v>8000</v>
      </c>
      <c r="E22" s="10">
        <f>AVERAGEIFS(TablaFunc[Valor (USD)], TablaFunc[Producto], B22,TablaFunc[País],C22)</f>
        <v>8000</v>
      </c>
      <c r="F22" s="10" t="str">
        <f t="shared" si="0"/>
        <v>Bajo</v>
      </c>
      <c r="G22" s="10" t="str">
        <f t="shared" si="1"/>
        <v>Cerámica - Alemania</v>
      </c>
    </row>
    <row r="23" spans="2:7">
      <c r="B23" s="10" t="s">
        <v>5</v>
      </c>
      <c r="C23" s="10" t="s">
        <v>7</v>
      </c>
      <c r="D23" s="10">
        <f>SUMIFS(TablaFunc[Valor (USD)],TablaFunc[Producto], B23, TablaFunc[País],C23)</f>
        <v>25000</v>
      </c>
      <c r="E23" s="10">
        <f>AVERAGEIFS(TablaFunc[Valor (USD)], TablaFunc[Producto], B23,TablaFunc[País],C23)</f>
        <v>25000</v>
      </c>
      <c r="F23" s="10" t="str">
        <f t="shared" si="0"/>
        <v>Alto</v>
      </c>
      <c r="G23" s="10" t="str">
        <f t="shared" si="1"/>
        <v>Vino - EE.UU.</v>
      </c>
    </row>
    <row r="24" spans="2:7">
      <c r="B24" s="10" t="s">
        <v>18</v>
      </c>
      <c r="C24" s="10" t="s">
        <v>17</v>
      </c>
      <c r="D24" s="10">
        <f>SUMIFS(TablaFunc[Valor (USD)],TablaFunc[Producto], B24, TablaFunc[País],C24)</f>
        <v>13000</v>
      </c>
      <c r="E24" s="10">
        <f>AVERAGEIFS(TablaFunc[Valor (USD)], TablaFunc[Producto], B24,TablaFunc[País],C24)</f>
        <v>13000</v>
      </c>
      <c r="F24" s="10" t="str">
        <f t="shared" si="0"/>
        <v>Bajo</v>
      </c>
      <c r="G24" s="10" t="str">
        <f t="shared" si="1"/>
        <v>Cerveza - México</v>
      </c>
    </row>
    <row r="25" spans="2:7">
      <c r="B25" s="10" t="s">
        <v>19</v>
      </c>
      <c r="C25" s="10" t="s">
        <v>6</v>
      </c>
      <c r="D25" s="10">
        <f>SUMIFS(TablaFunc[Valor (USD)],TablaFunc[Producto], B25, TablaFunc[País],C25)</f>
        <v>11000</v>
      </c>
      <c r="E25" s="10">
        <f>AVERAGEIFS(TablaFunc[Valor (USD)], TablaFunc[Producto], B25,TablaFunc[País],C25)</f>
        <v>11000</v>
      </c>
      <c r="F25" s="10" t="str">
        <f t="shared" si="0"/>
        <v>Bajo</v>
      </c>
      <c r="G25" s="10" t="str">
        <f t="shared" si="1"/>
        <v>Queso - Francia</v>
      </c>
    </row>
    <row r="26" spans="2:7">
      <c r="B26" s="10" t="s">
        <v>5</v>
      </c>
      <c r="C26" s="10" t="s">
        <v>14</v>
      </c>
      <c r="D26" s="10">
        <f>SUMIFS(TablaFunc[Valor (USD)],TablaFunc[Producto], B26, TablaFunc[País],C26)</f>
        <v>15000</v>
      </c>
      <c r="E26" s="10">
        <f>AVERAGEIFS(TablaFunc[Valor (USD)], TablaFunc[Producto], B26,TablaFunc[País],C26)</f>
        <v>15000</v>
      </c>
      <c r="F26" s="10" t="str">
        <f t="shared" si="0"/>
        <v>Alto</v>
      </c>
      <c r="G26" s="10" t="str">
        <f t="shared" si="1"/>
        <v>Vino - Portugal</v>
      </c>
    </row>
  </sheetData>
  <conditionalFormatting sqref="E19:E26">
    <cfRule type="cellIs" dxfId="6" priority="1" operator="lessThan">
      <formula>15000</formula>
    </cfRule>
    <cfRule type="cellIs" dxfId="5" priority="2" operator="greaterThanOrEqual">
      <formula>15000</formula>
    </cfRule>
  </conditionalFormatting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8ADD-D2B4-1948-B3B7-BD64F25D9B81}">
  <dimension ref="A1:Q34"/>
  <sheetViews>
    <sheetView zoomScale="75" workbookViewId="0">
      <selection activeCell="L13" sqref="L13"/>
    </sheetView>
  </sheetViews>
  <sheetFormatPr baseColWidth="10" defaultRowHeight="16"/>
  <cols>
    <col min="1" max="1" width="11" customWidth="1"/>
    <col min="4" max="4" width="13" customWidth="1"/>
    <col min="10" max="10" width="11.33203125" bestFit="1" customWidth="1"/>
    <col min="12" max="12" width="12.6640625" customWidth="1"/>
    <col min="13" max="13" width="15" customWidth="1"/>
    <col min="15" max="15" width="17.33203125" customWidth="1"/>
  </cols>
  <sheetData>
    <row r="1" spans="1:15">
      <c r="A1" s="3" t="s">
        <v>1</v>
      </c>
      <c r="B1" s="3" t="s">
        <v>0</v>
      </c>
      <c r="C1" s="3" t="s">
        <v>3</v>
      </c>
      <c r="D1" s="3" t="s">
        <v>2</v>
      </c>
      <c r="E1" t="s">
        <v>32</v>
      </c>
    </row>
    <row r="2" spans="1:15">
      <c r="A2" s="4" t="s">
        <v>11</v>
      </c>
      <c r="B2" s="4" t="s">
        <v>10</v>
      </c>
      <c r="C2" s="4">
        <v>2021</v>
      </c>
      <c r="D2" s="4">
        <v>15000</v>
      </c>
      <c r="J2">
        <v>1</v>
      </c>
      <c r="K2">
        <f>VLOOKUP("Cerveza", TablaDatos[], 4, FALSE)</f>
        <v>13000</v>
      </c>
    </row>
    <row r="3" spans="1:15">
      <c r="A3" s="4" t="s">
        <v>5</v>
      </c>
      <c r="B3" s="4" t="s">
        <v>6</v>
      </c>
      <c r="C3" s="4">
        <v>2021</v>
      </c>
      <c r="D3" s="4">
        <v>12000</v>
      </c>
      <c r="J3">
        <v>2</v>
      </c>
      <c r="K3" s="8" t="str">
        <f>_xlfn.XLOOKUP("Queso", TablaDatos[Producto], TablaDatos[País], "NO HAY", 0)</f>
        <v>Francia</v>
      </c>
    </row>
    <row r="4" spans="1:15">
      <c r="A4" s="4" t="s">
        <v>5</v>
      </c>
      <c r="B4" s="4" t="s">
        <v>12</v>
      </c>
      <c r="C4" s="4">
        <v>2021</v>
      </c>
      <c r="D4" s="4">
        <v>10000</v>
      </c>
      <c r="J4">
        <v>3</v>
      </c>
      <c r="K4" s="8" t="str">
        <f>IF(D2&gt;=20000, "Alto", "Bajo")</f>
        <v>Bajo</v>
      </c>
    </row>
    <row r="5" spans="1:15">
      <c r="A5" s="4" t="s">
        <v>13</v>
      </c>
      <c r="B5" s="4" t="s">
        <v>4</v>
      </c>
      <c r="C5" s="4">
        <v>2021</v>
      </c>
      <c r="D5" s="4">
        <v>8000</v>
      </c>
      <c r="J5">
        <v>4</v>
      </c>
      <c r="K5">
        <f>SUMIFS(TablaDatos[Valor (USD)], TablaDatos[Producto], "Vino")</f>
        <v>47000</v>
      </c>
      <c r="L5">
        <f>SUMIFS(TablaDatos[Valor (USD)], TablaDatos[Producto], "Vino", TablaDatos[Año], "2023")</f>
        <v>25000</v>
      </c>
    </row>
    <row r="6" spans="1:15">
      <c r="A6" s="4" t="s">
        <v>5</v>
      </c>
      <c r="B6" s="4" t="s">
        <v>7</v>
      </c>
      <c r="C6" s="4">
        <v>2023</v>
      </c>
      <c r="D6" s="4">
        <v>25000</v>
      </c>
      <c r="J6">
        <v>5</v>
      </c>
      <c r="K6">
        <f>INDEX(TablaDatos[Valor (USD)], MATCH("Cerámica", TablaDatos[Producto], 0))</f>
        <v>8000</v>
      </c>
    </row>
    <row r="7" spans="1:15">
      <c r="A7" s="4" t="s">
        <v>18</v>
      </c>
      <c r="B7" s="4" t="s">
        <v>17</v>
      </c>
      <c r="C7" s="4">
        <v>2023</v>
      </c>
      <c r="D7" s="4">
        <v>13000</v>
      </c>
    </row>
    <row r="8" spans="1:15">
      <c r="A8" s="4" t="s">
        <v>19</v>
      </c>
      <c r="B8" s="4" t="s">
        <v>6</v>
      </c>
      <c r="C8" s="4">
        <v>2023</v>
      </c>
      <c r="D8" s="4">
        <v>11000</v>
      </c>
    </row>
    <row r="13" spans="1:15">
      <c r="O13" t="s">
        <v>37</v>
      </c>
    </row>
    <row r="14" spans="1:15">
      <c r="J14" t="s">
        <v>50</v>
      </c>
      <c r="O14" t="s">
        <v>38</v>
      </c>
    </row>
    <row r="16" spans="1:15" ht="17">
      <c r="A16" s="4" t="s">
        <v>1</v>
      </c>
      <c r="B16" s="4" t="s">
        <v>0</v>
      </c>
      <c r="C16" s="4" t="s">
        <v>3</v>
      </c>
      <c r="D16" s="4" t="s">
        <v>2</v>
      </c>
      <c r="E16" t="s">
        <v>33</v>
      </c>
      <c r="J16" s="9" t="s">
        <v>1</v>
      </c>
      <c r="K16" s="9" t="s">
        <v>0</v>
      </c>
      <c r="L16" s="9" t="s">
        <v>34</v>
      </c>
      <c r="M16" s="9" t="s">
        <v>35</v>
      </c>
      <c r="N16" s="9" t="s">
        <v>36</v>
      </c>
      <c r="O16" s="13" t="s">
        <v>39</v>
      </c>
    </row>
    <row r="17" spans="1:17">
      <c r="A17" s="4" t="s">
        <v>11</v>
      </c>
      <c r="B17" s="4" t="s">
        <v>10</v>
      </c>
      <c r="C17" s="4">
        <v>2021</v>
      </c>
      <c r="D17" s="4">
        <v>15000</v>
      </c>
      <c r="J17" s="10" t="s">
        <v>11</v>
      </c>
      <c r="K17" s="10" t="s">
        <v>10</v>
      </c>
      <c r="L17" s="10">
        <f>SUMIFS(TablaFunc[Valor (USD)],TablaFunc[Producto], J17, TablaFunc[País],K17)</f>
        <v>51000</v>
      </c>
      <c r="M17" s="10">
        <f>AVERAGEIFS(TablaFunc[Valor (USD)], TablaFunc[Producto], J17,TablaFunc[País],K17)</f>
        <v>17000</v>
      </c>
      <c r="N17" s="10" t="str">
        <f>IF(M17&gt;=15000, "Alto", "Bajo")</f>
        <v>Alto</v>
      </c>
      <c r="O17" s="10" t="str">
        <f>J17 &amp; " - " &amp; K17</f>
        <v>Aceite - España</v>
      </c>
    </row>
    <row r="18" spans="1:17">
      <c r="A18" s="4" t="s">
        <v>5</v>
      </c>
      <c r="B18" s="4" t="s">
        <v>6</v>
      </c>
      <c r="C18" s="4">
        <v>2021</v>
      </c>
      <c r="D18" s="4">
        <v>12000</v>
      </c>
      <c r="J18" s="10" t="s">
        <v>5</v>
      </c>
      <c r="K18" s="10" t="s">
        <v>6</v>
      </c>
      <c r="L18" s="10">
        <f>SUMIFS(TablaFunc[Valor (USD)],TablaFunc[Producto], J18, TablaFunc[País],K18)</f>
        <v>12000</v>
      </c>
      <c r="M18" s="10">
        <f>AVERAGEIFS(TablaFunc[Valor (USD)], TablaFunc[Producto], J18,TablaFunc[País],K18)</f>
        <v>12000</v>
      </c>
      <c r="N18" s="10" t="str">
        <f t="shared" ref="N18:N24" si="0">IF(M18&gt;=15000, "Alto", "Bajo")</f>
        <v>Bajo</v>
      </c>
      <c r="O18" s="10" t="str">
        <f t="shared" ref="O18:O24" si="1">J18 &amp; " - " &amp; K18</f>
        <v>Vino - Francia</v>
      </c>
    </row>
    <row r="19" spans="1:17">
      <c r="A19" s="4" t="s">
        <v>5</v>
      </c>
      <c r="B19" s="4" t="s">
        <v>12</v>
      </c>
      <c r="C19" s="4">
        <v>2021</v>
      </c>
      <c r="D19" s="4">
        <v>10000</v>
      </c>
      <c r="J19" s="10" t="s">
        <v>5</v>
      </c>
      <c r="K19" s="10" t="s">
        <v>12</v>
      </c>
      <c r="L19" s="10">
        <f>SUMIFS(TablaFunc[Valor (USD)],TablaFunc[Producto], J19, TablaFunc[País],K19)</f>
        <v>10000</v>
      </c>
      <c r="M19" s="10">
        <f>AVERAGEIFS(TablaFunc[Valor (USD)], TablaFunc[Producto], J19,TablaFunc[País],K19)</f>
        <v>10000</v>
      </c>
      <c r="N19" s="10" t="str">
        <f t="shared" si="0"/>
        <v>Bajo</v>
      </c>
      <c r="O19" s="10" t="str">
        <f t="shared" si="1"/>
        <v>Vino - Italia</v>
      </c>
    </row>
    <row r="20" spans="1:17">
      <c r="A20" s="4" t="s">
        <v>13</v>
      </c>
      <c r="B20" s="4" t="s">
        <v>4</v>
      </c>
      <c r="C20" s="4">
        <v>2021</v>
      </c>
      <c r="D20" s="4">
        <v>8000</v>
      </c>
      <c r="J20" s="10" t="s">
        <v>13</v>
      </c>
      <c r="K20" s="10" t="s">
        <v>4</v>
      </c>
      <c r="L20" s="10">
        <f>SUMIFS(TablaFunc[Valor (USD)],TablaFunc[Producto], J20, TablaFunc[País],K20)</f>
        <v>8000</v>
      </c>
      <c r="M20" s="10">
        <f>AVERAGEIFS(TablaFunc[Valor (USD)], TablaFunc[Producto], J20,TablaFunc[País],K20)</f>
        <v>8000</v>
      </c>
      <c r="N20" s="10" t="str">
        <f t="shared" si="0"/>
        <v>Bajo</v>
      </c>
      <c r="O20" s="10" t="str">
        <f t="shared" si="1"/>
        <v>Cerámica - Alemania</v>
      </c>
    </row>
    <row r="21" spans="1:17">
      <c r="A21" s="4" t="s">
        <v>5</v>
      </c>
      <c r="B21" s="4" t="s">
        <v>7</v>
      </c>
      <c r="C21" s="4">
        <v>2023</v>
      </c>
      <c r="D21" s="4">
        <v>25000</v>
      </c>
      <c r="J21" s="10" t="s">
        <v>5</v>
      </c>
      <c r="K21" s="10" t="s">
        <v>7</v>
      </c>
      <c r="L21" s="10">
        <f>SUMIFS(TablaFunc[Valor (USD)],TablaFunc[Producto], J21, TablaFunc[País],K21)</f>
        <v>25000</v>
      </c>
      <c r="M21" s="10">
        <f>AVERAGEIFS(TablaFunc[Valor (USD)], TablaFunc[Producto], J21,TablaFunc[País],K21)</f>
        <v>25000</v>
      </c>
      <c r="N21" s="10" t="str">
        <f t="shared" si="0"/>
        <v>Alto</v>
      </c>
      <c r="O21" s="10" t="str">
        <f t="shared" si="1"/>
        <v>Vino - EE.UU.</v>
      </c>
    </row>
    <row r="22" spans="1:17">
      <c r="A22" s="4" t="s">
        <v>11</v>
      </c>
      <c r="B22" s="4" t="s">
        <v>10</v>
      </c>
      <c r="C22" s="4">
        <v>2023</v>
      </c>
      <c r="D22" s="4">
        <v>20000</v>
      </c>
      <c r="J22" s="10" t="s">
        <v>18</v>
      </c>
      <c r="K22" s="10" t="s">
        <v>17</v>
      </c>
      <c r="L22" s="10">
        <f>SUMIFS(TablaFunc[Valor (USD)],TablaFunc[Producto], J22, TablaFunc[País],K22)</f>
        <v>13000</v>
      </c>
      <c r="M22" s="10">
        <f>AVERAGEIFS(TablaFunc[Valor (USD)], TablaFunc[Producto], J22,TablaFunc[País],K22)</f>
        <v>13000</v>
      </c>
      <c r="N22" s="10" t="str">
        <f t="shared" si="0"/>
        <v>Bajo</v>
      </c>
      <c r="O22" s="10" t="str">
        <f t="shared" si="1"/>
        <v>Cerveza - México</v>
      </c>
    </row>
    <row r="23" spans="1:17">
      <c r="A23" s="4" t="s">
        <v>18</v>
      </c>
      <c r="B23" s="4" t="s">
        <v>17</v>
      </c>
      <c r="C23" s="4">
        <v>2023</v>
      </c>
      <c r="D23" s="4">
        <v>13000</v>
      </c>
      <c r="J23" s="10" t="s">
        <v>19</v>
      </c>
      <c r="K23" s="10" t="s">
        <v>6</v>
      </c>
      <c r="L23" s="10">
        <f>SUMIFS(TablaFunc[Valor (USD)],TablaFunc[Producto], J23, TablaFunc[País],K23)</f>
        <v>11000</v>
      </c>
      <c r="M23" s="10">
        <f>AVERAGEIFS(TablaFunc[Valor (USD)], TablaFunc[Producto], J23,TablaFunc[País],K23)</f>
        <v>11000</v>
      </c>
      <c r="N23" s="10" t="str">
        <f t="shared" si="0"/>
        <v>Bajo</v>
      </c>
      <c r="O23" s="10" t="str">
        <f t="shared" si="1"/>
        <v>Queso - Francia</v>
      </c>
    </row>
    <row r="24" spans="1:17">
      <c r="A24" s="4" t="s">
        <v>19</v>
      </c>
      <c r="B24" s="4" t="s">
        <v>6</v>
      </c>
      <c r="C24" s="4">
        <v>2023</v>
      </c>
      <c r="D24" s="4">
        <v>11000</v>
      </c>
      <c r="J24" s="10" t="s">
        <v>5</v>
      </c>
      <c r="K24" s="10" t="s">
        <v>14</v>
      </c>
      <c r="L24" s="10">
        <f>SUMIFS(TablaFunc[Valor (USD)],TablaFunc[Producto], J24, TablaFunc[País],K24)</f>
        <v>15000</v>
      </c>
      <c r="M24" s="10">
        <f>AVERAGEIFS(TablaFunc[Valor (USD)], TablaFunc[Producto], J24,TablaFunc[País],K24)</f>
        <v>15000</v>
      </c>
      <c r="N24" s="10" t="str">
        <f t="shared" si="0"/>
        <v>Alto</v>
      </c>
      <c r="O24" s="10" t="str">
        <f t="shared" si="1"/>
        <v>Vino - Portugal</v>
      </c>
    </row>
    <row r="25" spans="1:17">
      <c r="A25" s="4" t="s">
        <v>5</v>
      </c>
      <c r="B25" s="4" t="s">
        <v>14</v>
      </c>
      <c r="C25" s="4">
        <v>2023</v>
      </c>
      <c r="D25" s="4">
        <v>15000</v>
      </c>
    </row>
    <row r="26" spans="1:17">
      <c r="A26" s="4" t="s">
        <v>11</v>
      </c>
      <c r="B26" s="4" t="s">
        <v>10</v>
      </c>
      <c r="C26" s="4">
        <v>2021</v>
      </c>
      <c r="D26" s="4">
        <v>16000</v>
      </c>
    </row>
    <row r="32" spans="1:17">
      <c r="P32" s="14" t="s">
        <v>36</v>
      </c>
      <c r="Q32" s="14" t="s">
        <v>42</v>
      </c>
    </row>
    <row r="33" spans="16:17">
      <c r="P33" s="15" t="s">
        <v>40</v>
      </c>
      <c r="Q33" s="12">
        <f>COUNTIF(N17:N24,"Alto")</f>
        <v>3</v>
      </c>
    </row>
    <row r="34" spans="16:17">
      <c r="P34" s="16" t="s">
        <v>41</v>
      </c>
      <c r="Q34" s="17">
        <f>COUNTIF(N17:N24,"Bajo")</f>
        <v>5</v>
      </c>
    </row>
  </sheetData>
  <conditionalFormatting sqref="M17:M24">
    <cfRule type="cellIs" dxfId="4" priority="1" operator="lessThan">
      <formula>15000</formula>
    </cfRule>
    <cfRule type="cellIs" dxfId="3" priority="3" operator="greaterThanOrEqual">
      <formula>15000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D4B0-0218-604D-9F19-4FFBD216BF8B}">
  <dimension ref="A3:M11"/>
  <sheetViews>
    <sheetView topLeftCell="A4" zoomScale="75" zoomScaleNormal="75" workbookViewId="0">
      <selection activeCell="K11" sqref="K11"/>
    </sheetView>
  </sheetViews>
  <sheetFormatPr baseColWidth="10" defaultRowHeight="16"/>
  <cols>
    <col min="1" max="1" width="18.33203125" bestFit="1" customWidth="1"/>
    <col min="2" max="2" width="23.33203125" bestFit="1" customWidth="1"/>
    <col min="3" max="3" width="20.6640625" bestFit="1" customWidth="1"/>
    <col min="4" max="4" width="14" bestFit="1" customWidth="1"/>
    <col min="5" max="5" width="20.6640625" bestFit="1" customWidth="1"/>
    <col min="6" max="6" width="14" bestFit="1" customWidth="1"/>
    <col min="7" max="7" width="20.6640625" bestFit="1" customWidth="1"/>
    <col min="8" max="8" width="14" bestFit="1" customWidth="1"/>
    <col min="9" max="9" width="20.6640625" bestFit="1" customWidth="1"/>
    <col min="10" max="10" width="14" bestFit="1" customWidth="1"/>
    <col min="11" max="11" width="20.6640625" bestFit="1" customWidth="1"/>
    <col min="12" max="12" width="18.6640625" bestFit="1" customWidth="1"/>
    <col min="13" max="13" width="25.33203125" bestFit="1" customWidth="1"/>
    <col min="14" max="14" width="9.1640625" bestFit="1" customWidth="1"/>
    <col min="15" max="15" width="11.6640625" bestFit="1" customWidth="1"/>
  </cols>
  <sheetData>
    <row r="3" spans="1:13">
      <c r="B3" s="5" t="s">
        <v>22</v>
      </c>
    </row>
    <row r="4" spans="1:13">
      <c r="B4" t="s">
        <v>11</v>
      </c>
      <c r="D4" t="s">
        <v>18</v>
      </c>
      <c r="F4" t="s">
        <v>27</v>
      </c>
      <c r="H4" t="s">
        <v>19</v>
      </c>
      <c r="J4" t="s">
        <v>5</v>
      </c>
      <c r="L4" t="s">
        <v>29</v>
      </c>
      <c r="M4" t="s">
        <v>30</v>
      </c>
    </row>
    <row r="5" spans="1:13">
      <c r="A5" s="5" t="s">
        <v>20</v>
      </c>
      <c r="B5" t="s">
        <v>28</v>
      </c>
      <c r="C5" t="s">
        <v>31</v>
      </c>
      <c r="D5" t="s">
        <v>28</v>
      </c>
      <c r="E5" t="s">
        <v>31</v>
      </c>
      <c r="F5" t="s">
        <v>28</v>
      </c>
      <c r="G5" t="s">
        <v>31</v>
      </c>
      <c r="H5" t="s">
        <v>28</v>
      </c>
      <c r="I5" t="s">
        <v>31</v>
      </c>
      <c r="J5" t="s">
        <v>28</v>
      </c>
      <c r="K5" t="s">
        <v>31</v>
      </c>
    </row>
    <row r="6" spans="1:13">
      <c r="A6" s="6" t="s">
        <v>4</v>
      </c>
      <c r="B6" s="7">
        <v>8300</v>
      </c>
      <c r="C6" s="7">
        <v>10043</v>
      </c>
      <c r="D6" s="7"/>
      <c r="E6" s="7">
        <v>0</v>
      </c>
      <c r="F6" s="7">
        <v>7800</v>
      </c>
      <c r="G6" s="7">
        <v>9438</v>
      </c>
      <c r="H6" s="7"/>
      <c r="I6" s="7">
        <v>0</v>
      </c>
      <c r="J6" s="7"/>
      <c r="K6" s="7">
        <v>0</v>
      </c>
      <c r="L6" s="7">
        <v>16100</v>
      </c>
      <c r="M6" s="7">
        <v>19481</v>
      </c>
    </row>
    <row r="7" spans="1:13">
      <c r="A7" s="6" t="s">
        <v>10</v>
      </c>
      <c r="B7" s="7">
        <v>9400</v>
      </c>
      <c r="C7" s="7">
        <v>11374</v>
      </c>
      <c r="D7" s="7"/>
      <c r="E7" s="7">
        <v>0</v>
      </c>
      <c r="F7" s="7"/>
      <c r="G7" s="7">
        <v>0</v>
      </c>
      <c r="H7" s="7">
        <v>6750</v>
      </c>
      <c r="I7" s="7">
        <v>8167.5</v>
      </c>
      <c r="J7" s="7"/>
      <c r="K7" s="7">
        <v>0</v>
      </c>
      <c r="L7" s="7">
        <v>16150</v>
      </c>
      <c r="M7" s="7">
        <v>19541.5</v>
      </c>
    </row>
    <row r="8" spans="1:13">
      <c r="A8" s="6" t="s">
        <v>6</v>
      </c>
      <c r="B8" s="7"/>
      <c r="C8" s="7">
        <v>0</v>
      </c>
      <c r="D8" s="7"/>
      <c r="E8" s="7">
        <v>0</v>
      </c>
      <c r="F8" s="7">
        <v>10200</v>
      </c>
      <c r="G8" s="7">
        <v>12342</v>
      </c>
      <c r="H8" s="7"/>
      <c r="I8" s="7">
        <v>0</v>
      </c>
      <c r="J8" s="7">
        <v>26700</v>
      </c>
      <c r="K8" s="7">
        <v>32307</v>
      </c>
      <c r="L8" s="7">
        <v>36900</v>
      </c>
      <c r="M8" s="7">
        <v>44649</v>
      </c>
    </row>
    <row r="9" spans="1:13">
      <c r="A9" s="6" t="s">
        <v>12</v>
      </c>
      <c r="B9" s="7"/>
      <c r="C9" s="7">
        <v>0</v>
      </c>
      <c r="D9" s="7">
        <v>4900</v>
      </c>
      <c r="E9" s="7">
        <v>5929</v>
      </c>
      <c r="F9" s="7"/>
      <c r="G9" s="7">
        <v>0</v>
      </c>
      <c r="H9" s="7"/>
      <c r="I9" s="7">
        <v>0</v>
      </c>
      <c r="J9" s="7">
        <v>13100</v>
      </c>
      <c r="K9" s="7">
        <v>15851</v>
      </c>
      <c r="L9" s="7">
        <v>18000</v>
      </c>
      <c r="M9" s="7">
        <v>21780</v>
      </c>
    </row>
    <row r="10" spans="1:13">
      <c r="A10" s="6" t="s">
        <v>14</v>
      </c>
      <c r="B10" s="7"/>
      <c r="C10" s="7">
        <v>0</v>
      </c>
      <c r="D10" s="7">
        <v>5300</v>
      </c>
      <c r="E10" s="7">
        <v>6413</v>
      </c>
      <c r="F10" s="7"/>
      <c r="G10" s="7">
        <v>0</v>
      </c>
      <c r="H10" s="7"/>
      <c r="I10" s="7">
        <v>0</v>
      </c>
      <c r="J10" s="7"/>
      <c r="K10" s="7">
        <v>0</v>
      </c>
      <c r="L10" s="7">
        <v>5300</v>
      </c>
      <c r="M10" s="7">
        <v>6413</v>
      </c>
    </row>
    <row r="11" spans="1:13">
      <c r="A11" s="6" t="s">
        <v>21</v>
      </c>
      <c r="B11">
        <v>17700</v>
      </c>
      <c r="C11">
        <v>21417</v>
      </c>
      <c r="D11">
        <v>10200</v>
      </c>
      <c r="E11">
        <v>12342</v>
      </c>
      <c r="F11">
        <v>18000</v>
      </c>
      <c r="G11">
        <v>21780</v>
      </c>
      <c r="H11">
        <v>6750</v>
      </c>
      <c r="I11">
        <v>8167.5</v>
      </c>
      <c r="J11">
        <v>39800</v>
      </c>
      <c r="K11">
        <v>48158</v>
      </c>
      <c r="L11">
        <v>92450</v>
      </c>
      <c r="M11">
        <v>111864.5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C774-27FA-2D43-ABF6-7BC255AABF22}">
  <dimension ref="A1:D11"/>
  <sheetViews>
    <sheetView workbookViewId="0">
      <selection activeCell="F27" sqref="F27"/>
    </sheetView>
  </sheetViews>
  <sheetFormatPr baseColWidth="10" defaultRowHeight="16"/>
  <cols>
    <col min="3" max="3" width="11" customWidth="1"/>
    <col min="4" max="4" width="13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4">
        <v>2022</v>
      </c>
      <c r="B2" s="4" t="s">
        <v>6</v>
      </c>
      <c r="C2" s="4" t="s">
        <v>5</v>
      </c>
      <c r="D2" s="4">
        <v>12500</v>
      </c>
    </row>
    <row r="3" spans="1:4">
      <c r="A3" s="4">
        <v>2022</v>
      </c>
      <c r="B3" s="4" t="s">
        <v>10</v>
      </c>
      <c r="C3" s="4" t="s">
        <v>11</v>
      </c>
      <c r="D3" s="4">
        <v>9400</v>
      </c>
    </row>
    <row r="4" spans="1:4">
      <c r="A4" s="4">
        <v>2023</v>
      </c>
      <c r="B4" s="4" t="s">
        <v>4</v>
      </c>
      <c r="C4" s="4" t="s">
        <v>27</v>
      </c>
      <c r="D4" s="4">
        <v>7800</v>
      </c>
    </row>
    <row r="5" spans="1:4">
      <c r="A5" s="4">
        <v>2023</v>
      </c>
      <c r="B5" s="4" t="s">
        <v>12</v>
      </c>
      <c r="C5" s="4" t="s">
        <v>5</v>
      </c>
      <c r="D5" s="4">
        <v>13100</v>
      </c>
    </row>
    <row r="6" spans="1:4">
      <c r="A6" s="4">
        <v>2024</v>
      </c>
      <c r="B6" s="4" t="s">
        <v>14</v>
      </c>
      <c r="C6" s="4" t="s">
        <v>18</v>
      </c>
      <c r="D6" s="4">
        <v>5300</v>
      </c>
    </row>
    <row r="7" spans="1:4">
      <c r="A7" s="4">
        <v>2024</v>
      </c>
      <c r="B7" s="4" t="s">
        <v>10</v>
      </c>
      <c r="C7" s="4" t="s">
        <v>19</v>
      </c>
      <c r="D7" s="4">
        <v>6750</v>
      </c>
    </row>
    <row r="8" spans="1:4">
      <c r="A8" s="4">
        <v>2023</v>
      </c>
      <c r="B8" s="4" t="s">
        <v>6</v>
      </c>
      <c r="C8" s="4" t="s">
        <v>27</v>
      </c>
      <c r="D8" s="4">
        <v>10200</v>
      </c>
    </row>
    <row r="9" spans="1:4">
      <c r="A9" s="4">
        <v>2022</v>
      </c>
      <c r="B9" s="4" t="s">
        <v>12</v>
      </c>
      <c r="C9" s="4" t="s">
        <v>18</v>
      </c>
      <c r="D9" s="4">
        <v>4900</v>
      </c>
    </row>
    <row r="10" spans="1:4">
      <c r="A10" s="4">
        <v>2022</v>
      </c>
      <c r="B10" s="4" t="s">
        <v>4</v>
      </c>
      <c r="C10" s="4" t="s">
        <v>11</v>
      </c>
      <c r="D10" s="4">
        <v>8300</v>
      </c>
    </row>
    <row r="11" spans="1:4">
      <c r="A11" s="4">
        <v>2024</v>
      </c>
      <c r="B11" s="4" t="s">
        <v>6</v>
      </c>
      <c r="C11" s="4" t="s">
        <v>5</v>
      </c>
      <c r="D11" s="4">
        <v>14200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C599-5B10-4F4B-85B5-AE7AECD377A1}">
  <dimension ref="A3:E11"/>
  <sheetViews>
    <sheetView workbookViewId="0">
      <selection activeCell="C27" sqref="C27"/>
    </sheetView>
  </sheetViews>
  <sheetFormatPr baseColWidth="10" defaultRowHeight="16"/>
  <cols>
    <col min="1" max="1" width="16.83203125" bestFit="1" customWidth="1"/>
    <col min="2" max="2" width="21.5" bestFit="1" customWidth="1"/>
    <col min="3" max="3" width="19.5" bestFit="1" customWidth="1"/>
    <col min="4" max="4" width="22.6640625" bestFit="1" customWidth="1"/>
    <col min="5" max="5" width="24" bestFit="1" customWidth="1"/>
  </cols>
  <sheetData>
    <row r="3" spans="1:5">
      <c r="B3" s="5" t="s">
        <v>22</v>
      </c>
    </row>
    <row r="4" spans="1:5">
      <c r="B4" t="s">
        <v>5</v>
      </c>
      <c r="D4" t="s">
        <v>24</v>
      </c>
      <c r="E4" t="s">
        <v>25</v>
      </c>
    </row>
    <row r="5" spans="1:5">
      <c r="A5" s="5" t="s">
        <v>20</v>
      </c>
      <c r="B5" t="s">
        <v>23</v>
      </c>
      <c r="C5" t="s">
        <v>26</v>
      </c>
    </row>
    <row r="6" spans="1:5">
      <c r="A6" s="6" t="s">
        <v>4</v>
      </c>
      <c r="B6">
        <v>55000</v>
      </c>
      <c r="C6">
        <v>66550</v>
      </c>
      <c r="D6">
        <v>55000</v>
      </c>
      <c r="E6">
        <v>66550</v>
      </c>
    </row>
    <row r="7" spans="1:5">
      <c r="A7" s="6" t="s">
        <v>9</v>
      </c>
      <c r="B7">
        <v>47500</v>
      </c>
      <c r="C7">
        <v>57475</v>
      </c>
      <c r="D7">
        <v>47500</v>
      </c>
      <c r="E7">
        <v>57475</v>
      </c>
    </row>
    <row r="8" spans="1:5">
      <c r="A8" s="6" t="s">
        <v>7</v>
      </c>
      <c r="B8">
        <v>95000</v>
      </c>
      <c r="C8">
        <v>114950</v>
      </c>
      <c r="D8">
        <v>95000</v>
      </c>
      <c r="E8">
        <v>114950</v>
      </c>
    </row>
    <row r="9" spans="1:5">
      <c r="A9" s="6" t="s">
        <v>6</v>
      </c>
      <c r="B9">
        <v>50000</v>
      </c>
      <c r="C9">
        <v>60500</v>
      </c>
      <c r="D9">
        <v>50000</v>
      </c>
      <c r="E9">
        <v>60500</v>
      </c>
    </row>
    <row r="10" spans="1:5">
      <c r="A10" s="6" t="s">
        <v>8</v>
      </c>
      <c r="B10">
        <v>43000</v>
      </c>
      <c r="C10">
        <v>52030</v>
      </c>
      <c r="D10">
        <v>43000</v>
      </c>
      <c r="E10">
        <v>52030</v>
      </c>
    </row>
    <row r="11" spans="1:5">
      <c r="A11" s="6" t="s">
        <v>21</v>
      </c>
      <c r="B11">
        <v>290500</v>
      </c>
      <c r="C11">
        <v>351505</v>
      </c>
      <c r="D11">
        <v>290500</v>
      </c>
      <c r="E11">
        <v>351505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9 a 1 9 4 5 - 5 1 c 5 - 4 a 1 1 - 8 7 b b - 8 4 e 3 6 0 c 3 1 9 2 9 "   x m l n s = " h t t p : / / s c h e m a s . m i c r o s o f t . c o m / D a t a M a s h u p " > A A A A A D c F A A B Q S w M E F A A A C A g A t Z H H W g d L 3 w 2 m A A A A 9 g A A A B I A A A B D b 2 5 m a W c v U G F j a 2 F n Z S 5 4 b W y F j 0 s O g j A Y h K 9 C u q c P M G r I T 1 k Y d 5 K Y k B i 3 T a 3 Q C M X Q Y r m b C 4 / k F c Q o 6 s 7 l z H y T z N y v N 8 i G p g 4 u q r O 6 N S l i m K J A G d k e t C l T 1 L t j u E Q Z h 6 2 Q J 1 G q Y I S N T Q a r U 1 Q 5 d 0 4 I 8 d 5 j H + O 2 K 0 l E K S P 7 f F P I S j U i 1 M Y 6 Y a R C n 9 b h f w t x 2 L 3 G 8 A i z W Y z Z Y o 4 p k M m E X J s v E I 1 7 n + m P C a u + d n 2 n u L L h u g A y S S D v D / w B U E s D B B Q A A A g I A L W R x 1 q O T J G w g w I A A P s O A A A T A A A A R m 9 y b X V s Y X M v U 2 V j d G l v b j E u b e 2 V Q W / a M B T H 7 0 j 9 D p Z 7 C V I E A 6 p d p h 0 Y U K 2 a 1 L J B u w N C y C R v 1 M L Y m e 0 g O s R h H 2 e H H a Z 9 B K 7 7 U H t J W i C Q V G i r K j Z x S m I 7 / / d / 9 u 8 9 G / A s V 5 J 0 k m f l 1 U n h p G B u m Q a f N C u D 1 i x Q 2 j I P p 8 D c c K n I a y L A F g i 5 0 n w E E j 9 b M w 9 E 6 a P S 4 6 F S Y + e c C y g 1 l L Q g r X F o + d q A N u U h C J B C M M t M u Q l m b F V Q f g N i + U 0 O 4 v / r U y a / M F 8 N 2 l r d o R X V U J M A A 6 n S T J g Z L b p E h k K 4 x O o Q i i 6 G P 6 W X b A o j d L b 8 K U m F o p H E 0 b x 3 Y W G C n z T L P n X J O y 7 9 a L r L h g J o f 9 F r o q t + o t n l g S I + E E + J c C I Z 8 d h k y N F W J B + v L 3 U 1 k + a T 0 p N G v K R 7 F 4 B x t s 2 4 Z D 6 n b b b 8 b v D V 4 h J i Y W Y X O E w x P z / E / H Y m b p h Q m j j X n W Y R 5 y 6 k f X l W i t T j y f r y h 0 q P 4 j A F Q + / 3 I j H D D P k c c s t 8 Z t a G P 8 B E T S F Z E D n N T X E V Z 3 E v i i e J i k r 7 I N O S H d x T J y t o n H c 6 k S v 8 X Z f w y D 2 Q P p e j R V r d h A F o r j Q Y N C Q R l W k 6 1 D n X x l 4 6 u 2 Z c c r a H U A J G p l R O Z J f U i g U u 9 1 F O l U p 1 0 H 6 f x u 1 p K w V + f f 3 T U t l k M 6 N K q o N o f 1 g 0 z i U T G x X S u Q W w W x X S k h 4 b Q h T f k E A r Z I v j 6 3 q X 2 9 G Y h b f A 8 N y N s x H b J b 3 7 y b o Q H Y 8 J p q M 9 i m z 2 i 3 9 Z f j m u n r E O H 5 j J T W G L l h Q q e I J D H n N 9 M N D s 0 1 + 3 s q i + q F a e l p 7 d v v o / I / T Q y q U J h W W E S Z g h E m v j C S X g z B 9 t 4 h m n U l u s 8 N x R f w z L 6 N d / H M j a E c j n 6 2 l 4 A 6 4 6 2 S 4 3 + U 0 v i Z M s 3 J Q 8 p V n X q l M t 0 o O h 8 n i 3 H h q H O d D U j t A c o U l D 8 x t Q S w M E F A A A C A g A t Z H H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1 k c d a B 0 v f D a Y A A A D 2 A A A A E g A A A A A A A A A A A A A A p I E A A A A A Q 2 9 u Z m l n L 1 B h Y 2 t h Z 2 U u e G 1 s U E s B A h Q D F A A A C A g A t Z H H W o 5 M k b C D A g A A + w 4 A A B M A A A A A A A A A A A A A A K S B 1 g A A A E Z v c m 1 1 b G F z L 1 N l Y 3 R p b 2 4 x L m 1 Q S w E C F A M U A A A I C A C 1 k c d a D 8 r p q 6 Q A A A D p A A A A E w A A A A A A A A A A A A A A p I G K A w A A W 0 N v b n R l b n R f V H l w Z X N d L n h t b F B L B Q Y A A A A A A w A D A M I A A A B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S w A A A A A A A A l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Q x X 0 V 4 c G 9 y d G F j a W 9 u Z X N W a W 5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c 4 M z c w M W M t Z j Y y N C 0 0 Z G U 1 L T g 4 N 2 Q t Y m M y Y 2 V k Y W E y N z d l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s d W 1 u T m F t Z X M i I F Z h b H V l P S J z W y Z x d W 9 0 O 1 B h X H U w M E V E c y Z x d W 9 0 O y w m c X V v d D t Q c m 9 k d W N 0 b y Z x d W 9 0 O y w m c X V v d D t W Y W x v c i A o V V N E K S Z x d W 9 0 O 1 0 i I C 8 + P E V u d H J 5 I F R 5 c G U 9 I k Z p b G x D b 2 x 1 b W 5 U e X B l c y I g V m F s d W U 9 I n N C Z 1 l E I i A v P j x F b n R y e S B U e X B l P S J G a W x s T G F z d F V w Z G F 0 Z W Q i I F Z h b H V l P S J k M j A y N S 0 w N C 0 w O V Q y M D o z N z o z M y 4 4 N j g x N z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0 Q x X 0 V 4 c G 9 y d G F j a W 9 u Z X N W a W 5 v X z E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F f R X h w b 3 J 0 Y W N p b 2 5 l c 1 Z p b m 8 v Q X V 0 b 1 J l b W 9 2 Z W R D b 2 x 1 b W 5 z M S 5 7 U G F c d T A w R U R z L D B 9 J n F 1 b 3 Q 7 L C Z x d W 9 0 O 1 N l Y 3 R p b 2 4 x L 0 Q x X 0 V 4 c G 9 y d G F j a W 9 u Z X N W a W 5 v L 0 F 1 d G 9 S Z W 1 v d m V k Q 2 9 s d W 1 u c z E u e 1 B y b 2 R 1 Y 3 R v L D F 9 J n F 1 b 3 Q 7 L C Z x d W 9 0 O 1 N l Y 3 R p b 2 4 x L 0 Q x X 0 V 4 c G 9 y d G F j a W 9 u Z X N W a W 5 v L 0 F 1 d G 9 S Z W 1 v d m V k Q 2 9 s d W 1 u c z E u e 1 Z h b G 9 y I C h V U 0 Q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Q x X 0 V 4 c G 9 y d G F j a W 9 u Z X N W a W 5 v L 0 F 1 d G 9 S Z W 1 v d m V k Q 2 9 s d W 1 u c z E u e 1 B h X H U w M E V E c y w w f S Z x d W 9 0 O y w m c X V v d D t T Z W N 0 a W 9 u M S 9 E M V 9 F e H B v c n R h Y 2 l v b m V z V m l u b y 9 B d X R v U m V t b 3 Z l Z E N v b H V t b n M x L n t Q c m 9 k d W N 0 b y w x f S Z x d W 9 0 O y w m c X V v d D t T Z W N 0 a W 9 u M S 9 E M V 9 F e H B v c n R h Y 2 l v b m V z V m l u b y 9 B d X R v U m V t b 3 Z l Z E N v b H V t b n M x L n t W Y W x v c i A o V V N E K S w y f S Z x d W 9 0 O 1 0 s J n F 1 b 3 Q 7 U m V s Y X R p b 2 5 z a G l w S W 5 m b y Z x d W 9 0 O z p b X X 0 i I C 8 + P E V u d H J 5 I F R 5 c G U 9 I k Z p b G x D b 3 V u d C I g V m F s d W U 9 I m w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D F f R X h w b 3 J 0 Y W N p b 2 5 l c 1 Z p b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F f R X h w b 3 J 0 Y W N p b 2 5 l c 1 Z p b m 8 v T m F 2 Z W d h Y 2 k l Q z M l Q j N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x X 0 V 4 c G 9 y d G F j a W 9 u Z X N W a W 5 v L 1 R p c G 8 l M j B k Z S U y M G N v b H V t b m E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x X 0 V 4 c G 9 y d G F j a W 9 u Z X N W a W 5 v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V 9 F e H B v c n R h Y 2 l v b m V z V m l u b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x X 0 V 4 c G 9 y d G F j a W 9 u Z X N W a W 5 v L 0 Z p b G F z J T I w c 3 V w Z X J p b 3 J l c y U y M G N v b n N l c n Z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F f R X h w b 3 J 0 Y W N p b 2 5 l c 1 Z p b m 8 v R m l s Y X M l M j B z d X B l c m l v c m V z J T I w Y 2 9 u c 2 V y d m F k Y X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J f U F F f R X h w b 3 J 0 Y W N p b 2 5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Z T g 3 Z m I 5 L W U 2 Z W E t N D A x Z C 0 5 N j U w L W F l Y m E y Y 2 Z h N T R l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x h c 3 R V c G R h d G V k I i B W Y W x 1 Z T 0 i Z D I w M j U t M D Q t M D l U M j A 6 M z c 6 M z M u O D c z M T k 0 M F o i I C 8 + P E V u d H J 5 I F R 5 c G U 9 I k Z p b G x F c n J v c k N v d W 5 0 I i B W Y W x 1 Z T 0 i b D A i I C 8 + P E V u d H J 5 I F R 5 c G U 9 I k Z p b G x D b 2 x 1 b W 5 U e X B l c y I g V m F s d W U 9 I n N C Z 1 l E Q X c 9 P S I g L z 4 8 R W 5 0 c n k g V H l w Z T 0 i R m l s b E V y c m 9 y Q 2 9 k Z S I g V m F s d W U 9 I n N V b m t u b 3 d u I i A v P j x F b n R y e S B U e X B l P S J G a W x s V G F y Z 2 V 0 I i B W Y W x 1 Z T 0 i c 0 Q y X 1 B R X 0 V 4 c G 9 y d G F j a W 9 u Z X M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Z p b G x D b 2 x 1 b W 5 O Y W 1 l c y I g V m F s d W U 9 I n N b J n F 1 b 3 Q 7 U G F c d T A w R U R z J n F 1 b 3 Q 7 L C Z x d W 9 0 O 1 B y b 2 R 1 Y 3 R v J n F 1 b 3 Q 7 L C Z x d W 9 0 O 1 Z h b G 9 y I C h V U 0 Q p J n F 1 b 3 Q 7 L C Z x d W 9 0 O 0 F c d T A w R j F v J n F 1 b 3 Q 7 X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J f U F F f R X h w b 3 J 0 Y W N p b 2 5 l c y 9 B d X R v U m V t b 3 Z l Z E N v b H V t b n M x L n t Q Y V x 1 M D B F R H M s M H 0 m c X V v d D s s J n F 1 b 3 Q 7 U 2 V j d G l v b j E v R D J f U F F f R X h w b 3 J 0 Y W N p b 2 5 l c y 9 B d X R v U m V t b 3 Z l Z E N v b H V t b n M x L n t Q c m 9 k d W N 0 b y w x f S Z x d W 9 0 O y w m c X V v d D t T Z W N 0 a W 9 u M S 9 E M l 9 Q U V 9 F e H B v c n R h Y 2 l v b m V z L 0 F 1 d G 9 S Z W 1 v d m V k Q 2 9 s d W 1 u c z E u e 1 Z h b G 9 y I C h V U 0 Q p L D J 9 J n F 1 b 3 Q 7 L C Z x d W 9 0 O 1 N l Y 3 R p b 2 4 x L 0 Q y X 1 B R X 0 V 4 c G 9 y d G F j a W 9 u Z X M v Q X V 0 b 1 J l b W 9 2 Z W R D b 2 x 1 b W 5 z M S 5 7 Q V x 1 M D B G M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D J f U F F f R X h w b 3 J 0 Y W N p b 2 5 l c y 9 B d X R v U m V t b 3 Z l Z E N v b H V t b n M x L n t Q Y V x 1 M D B F R H M s M H 0 m c X V v d D s s J n F 1 b 3 Q 7 U 2 V j d G l v b j E v R D J f U F F f R X h w b 3 J 0 Y W N p b 2 5 l c y 9 B d X R v U m V t b 3 Z l Z E N v b H V t b n M x L n t Q c m 9 k d W N 0 b y w x f S Z x d W 9 0 O y w m c X V v d D t T Z W N 0 a W 9 u M S 9 E M l 9 Q U V 9 F e H B v c n R h Y 2 l v b m V z L 0 F 1 d G 9 S Z W 1 v d m V k Q 2 9 s d W 1 u c z E u e 1 Z h b G 9 y I C h V U 0 Q p L D J 9 J n F 1 b 3 Q 7 L C Z x d W 9 0 O 1 N l Y 3 R p b 2 4 x L 0 Q y X 1 B R X 0 V 4 c G 9 y d G F j a W 9 u Z X M v Q X V 0 b 1 J l b W 9 2 Z W R D b 2 x 1 b W 5 z M S 5 7 Q V x 1 M D B G M W 8 s M 3 0 m c X V v d D t d L C Z x d W 9 0 O 1 J l b G F 0 a W 9 u c 2 h p c E l u Z m 8 m c X V v d D s 6 W 1 1 9 I i A v P j x F b n R y e S B U e X B l P S J G a W x s Q 2 9 1 b n Q i I F Z h b H V l P S J s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y X 1 B R X 0 V 4 c G 9 y d G F j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J f U F F f R X h w b 3 J 0 Y W N p b 2 5 l c y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l 9 Q U V 9 F e H B v c n R h Y 2 l v b m V z L 0 5 h d m V n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X 1 B R X 0 V 4 c G 9 y d G F j a W 9 u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J f R X h w b 3 J 0 Y W N p b 2 5 l c z I w M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T M w O D I 2 Z i 1 h N z J k L T Q 2 Y 2 M t O G J h Z i 0 y Z j M y Z W Q 0 N D g x O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j A 6 M z c 6 M z I u O D k z N z E 2 M F o i I C 8 + P E V u d H J 5 I F R 5 c G U 9 I k Z p b G x D b 2 x 1 b W 5 U e X B l c y I g V m F s d W U 9 I n N C Z 1 l E Q X c 9 P S I g L z 4 8 R W 5 0 c n k g V H l w Z T 0 i R m l s b E N v b H V t b k 5 h b W V z I i B W Y W x 1 Z T 0 i c 1 s m c X V v d D t Q Y V x 1 M D B F R H M m c X V v d D s s J n F 1 b 3 Q 7 U H J v Z H V j d G 8 m c X V v d D s s J n F 1 b 3 Q 7 V m F s b 3 I g K F V T R C k m c X V v d D s s J n F 1 b 3 Q 7 Q V x 1 M D B G M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l 9 F e H B v c n R h Y 2 l v b m V z M j A y M y 9 B d X R v U m V t b 3 Z l Z E N v b H V t b n M x L n t Q Y V x 1 M D B F R H M s M H 0 m c X V v d D s s J n F 1 b 3 Q 7 U 2 V j d G l v b j E v R D J f R X h w b 3 J 0 Y W N p b 2 5 l c z I w M j M v Q X V 0 b 1 J l b W 9 2 Z W R D b 2 x 1 b W 5 z M S 5 7 U H J v Z H V j d G 8 s M X 0 m c X V v d D s s J n F 1 b 3 Q 7 U 2 V j d G l v b j E v R D J f R X h w b 3 J 0 Y W N p b 2 5 l c z I w M j M v Q X V 0 b 1 J l b W 9 2 Z W R D b 2 x 1 b W 5 z M S 5 7 V m F s b 3 I g K F V T R C k s M n 0 m c X V v d D s s J n F 1 b 3 Q 7 U 2 V j d G l v b j E v R D J f R X h w b 3 J 0 Y W N p b 2 5 l c z I w M j M v Q X V 0 b 1 J l b W 9 2 Z W R D b 2 x 1 b W 5 z M S 5 7 Q V x 1 M D B G M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D J f R X h w b 3 J 0 Y W N p b 2 5 l c z I w M j M v Q X V 0 b 1 J l b W 9 2 Z W R D b 2 x 1 b W 5 z M S 5 7 U G F c d T A w R U R z L D B 9 J n F 1 b 3 Q 7 L C Z x d W 9 0 O 1 N l Y 3 R p b 2 4 x L 0 Q y X 0 V 4 c G 9 y d G F j a W 9 u Z X M y M D I z L 0 F 1 d G 9 S Z W 1 v d m V k Q 2 9 s d W 1 u c z E u e 1 B y b 2 R 1 Y 3 R v L D F 9 J n F 1 b 3 Q 7 L C Z x d W 9 0 O 1 N l Y 3 R p b 2 4 x L 0 Q y X 0 V 4 c G 9 y d G F j a W 9 u Z X M y M D I z L 0 F 1 d G 9 S Z W 1 v d m V k Q 2 9 s d W 1 u c z E u e 1 Z h b G 9 y I C h V U 0 Q p L D J 9 J n F 1 b 3 Q 7 L C Z x d W 9 0 O 1 N l Y 3 R p b 2 4 x L 0 Q y X 0 V 4 c G 9 y d G F j a W 9 u Z X M y M D I z L 0 F 1 d G 9 S Z W 1 v d m V k Q 2 9 s d W 1 u c z E u e 0 F c d T A w R j F v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y X 0 V 4 c G 9 y d G F j a W 9 u Z X M y M D I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X 0 V 4 c G 9 y d G F j a W 9 u Z X M y M D I z L 0 5 h d m V n Y W N p J U M z J U I z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l 9 F e H B v c n R h Y 2 l v b m V z M j A y M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l 9 F e H B v c n R h Y 2 l v b m V z M j A y M y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l 9 F e H B v c n R h Y 2 l v b m V z Q 2 9 t Y m l u Y W R h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F j N T E 3 Z W Q 2 L T I z Z m M t N D g 1 M y 0 4 O D Q z L T I 0 Z T g 5 M j A w O G Y 2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m d Z R E F 3 P T 0 i I C 8 + P E V u d H J 5 I F R 5 c G U 9 I k Z p b G x M Y X N 0 V X B k Y X R l Z C I g V m F s d W U 9 I m Q y M D I 1 L T A 0 L T A 5 V D I w O j M 3 O j M y L j g 5 M T k 2 M D B a I i A v P j x F b n R y e S B U e X B l P S J G a W x s Q 2 9 s d W 1 u T m F t Z X M i I F Z h b H V l P S J z W y Z x d W 9 0 O 1 B h X H U w M E V E c y Z x d W 9 0 O y w m c X V v d D t Q c m 9 k d W N 0 b y Z x d W 9 0 O y w m c X V v d D t W Y W x v c i A o V V N E K S Z x d W 9 0 O y w m c X V v d D t B X H U w M E Y x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y X 0 V 4 c G 9 y d G F j a W 9 u Z X M y M D I x L 0 F 1 d G 9 S Z W 1 v d m V k Q 2 9 s d W 1 u c z E u e 1 B h X H U w M E V E c y w w f S Z x d W 9 0 O y w m c X V v d D t T Z W N 0 a W 9 u M S 9 E M l 9 F e H B v c n R h Y 2 l v b m V z M j A y M S 9 B d X R v U m V t b 3 Z l Z E N v b H V t b n M x L n t Q c m 9 k d W N 0 b y w x f S Z x d W 9 0 O y w m c X V v d D t T Z W N 0 a W 9 u M S 9 E M l 9 F e H B v c n R h Y 2 l v b m V z M j A y M S 9 B d X R v U m V t b 3 Z l Z E N v b H V t b n M x L n t W Y W x v c i A o V V N E K S w y f S Z x d W 9 0 O y w m c X V v d D t T Z W N 0 a W 9 u M S 9 E M l 9 F e H B v c n R h Y 2 l v b m V z M j A y M S 9 B d X R v U m V t b 3 Z l Z E N v b H V t b n M x L n t B X H U w M E Y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M l 9 F e H B v c n R h Y 2 l v b m V z M j A y M S 9 B d X R v U m V t b 3 Z l Z E N v b H V t b n M x L n t Q Y V x 1 M D B F R H M s M H 0 m c X V v d D s s J n F 1 b 3 Q 7 U 2 V j d G l v b j E v R D J f R X h w b 3 J 0 Y W N p b 2 5 l c z I w M j E v Q X V 0 b 1 J l b W 9 2 Z W R D b 2 x 1 b W 5 z M S 5 7 U H J v Z H V j d G 8 s M X 0 m c X V v d D s s J n F 1 b 3 Q 7 U 2 V j d G l v b j E v R D J f R X h w b 3 J 0 Y W N p b 2 5 l c z I w M j E v Q X V 0 b 1 J l b W 9 2 Z W R D b 2 x 1 b W 5 z M S 5 7 V m F s b 3 I g K F V T R C k s M n 0 m c X V v d D s s J n F 1 b 3 Q 7 U 2 V j d G l v b j E v R D J f R X h w b 3 J 0 Y W N p b 2 5 l c z I w M j E v Q X V 0 b 1 J l b W 9 2 Z W R D b 2 x 1 b W 5 z M S 5 7 Q V x 1 M D B G M W 8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M l 9 F e H B v c n R h Y 2 l v b m V z Q 2 9 t Y m l u Y W R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l 9 F e H B v c n R h Y 2 l v b m V z Q 2 9 t Y m l u Y W R h c y 9 O Y X Z l Z 2 F j a S V D M y V C M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J f R X h w b 3 J 0 Y W N p b 2 5 l c 0 N v b W J p b m F k Y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J f R X h w b 3 J 0 Y W N p b 2 5 l c 0 N v b W J p b m F k Y X M v V G l w b y U y M G R l J T I w Y 2 9 s d W 1 u Y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J f R X h w b 3 J 0 Y W N p b 2 5 l c 0 N v b W J p b m F k Y X M v Q 2 9 u c 3 V s d G E l M j B h b m V 4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J f U F F f Q 2 9 t Y m l u Y W R h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N i M j J h N j E t O W N j Y S 0 0 O T A z L W E y Z W M t Y j U 2 Y T k 4 Y m F h N 2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Q y X 1 B R X 0 N v b W J p b m F k Y S I g L z 4 8 R W 5 0 c n k g V H l w Z T 0 i R m l s b G V k Q 2 9 t c G x l d G V S Z X N 1 b H R U b 1 d v c m t z a G V l d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j A 6 M z c 6 M z M u O D c 5 N z E 4 M F o i I C 8 + P E V u d H J 5 I F R 5 c G U 9 I k Z p b G x D b 2 x 1 b W 5 U e X B l c y I g V m F s d W U 9 I n N C Z 1 l E Q X c 9 P S I g L z 4 8 R W 5 0 c n k g V H l w Z T 0 i R m l s b E N v b H V t b k 5 h b W V z I i B W Y W x 1 Z T 0 i c 1 s m c X V v d D t Q Y V x 1 M D B F R H M m c X V v d D s s J n F 1 b 3 Q 7 U H J v Z H V j d G 8 m c X V v d D s s J n F 1 b 3 Q 7 V m F s b 3 I g K F V T R C k m c X V v d D s s J n F 1 b 3 Q 7 Q V x 1 M D B G M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l 9 Q U V 9 D b 2 1 i a W 5 h Z G E v Q X V 0 b 1 J l b W 9 2 Z W R D b 2 x 1 b W 5 z M S 5 7 U G F c d T A w R U R z L D B 9 J n F 1 b 3 Q 7 L C Z x d W 9 0 O 1 N l Y 3 R p b 2 4 x L 0 Q y X 1 B R X 0 N v b W J p b m F k Y S 9 B d X R v U m V t b 3 Z l Z E N v b H V t b n M x L n t Q c m 9 k d W N 0 b y w x f S Z x d W 9 0 O y w m c X V v d D t T Z W N 0 a W 9 u M S 9 E M l 9 Q U V 9 D b 2 1 i a W 5 h Z G E v Q X V 0 b 1 J l b W 9 2 Z W R D b 2 x 1 b W 5 z M S 5 7 V m F s b 3 I g K F V T R C k s M n 0 m c X V v d D s s J n F 1 b 3 Q 7 U 2 V j d G l v b j E v R D J f U F F f Q 2 9 t Y m l u Y W R h L 0 F 1 d G 9 S Z W 1 v d m V k Q 2 9 s d W 1 u c z E u e 0 F c d T A w R j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Q y X 1 B R X 0 N v b W J p b m F k Y S 9 B d X R v U m V t b 3 Z l Z E N v b H V t b n M x L n t Q Y V x 1 M D B F R H M s M H 0 m c X V v d D s s J n F 1 b 3 Q 7 U 2 V j d G l v b j E v R D J f U F F f Q 2 9 t Y m l u Y W R h L 0 F 1 d G 9 S Z W 1 v d m V k Q 2 9 s d W 1 u c z E u e 1 B y b 2 R 1 Y 3 R v L D F 9 J n F 1 b 3 Q 7 L C Z x d W 9 0 O 1 N l Y 3 R p b 2 4 x L 0 Q y X 1 B R X 0 N v b W J p b m F k Y S 9 B d X R v U m V t b 3 Z l Z E N v b H V t b n M x L n t W Y W x v c i A o V V N E K S w y f S Z x d W 9 0 O y w m c X V v d D t T Z W N 0 a W 9 u M S 9 E M l 9 Q U V 9 D b 2 1 i a W 5 h Z G E v Q X V 0 b 1 J l b W 9 2 Z W R D b 2 x 1 b W 5 z M S 5 7 Q V x 1 M D B G M W 8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D J f U F F f Q 2 9 t Y m l u Y W R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X 1 B R X 0 V 4 c G 9 y d G F j a W 9 u Z X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h i O T J m N D Y t O D V k Y y 0 0 Y T U 4 L T k 4 Z j A t Z D g y O D c 0 M T E 1 M m R i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s d W 1 u V H l w Z X M i I F Z h b H V l P S J z Q m d Z R E F 3 P T 0 i I C 8 + P E V u d H J 5 I F R 5 c G U 9 I k Z p b G x M Y X N 0 V X B k Y X R l Z C I g V m F s d W U 9 I m Q y M D I 1 L T A 0 L T A 5 V D I w O j M 3 O j M z L j g 3 M z E 5 N D B a I i A v P j x F b n R y e S B U e X B l P S J G a W x s Q 2 9 s d W 1 u T m F t Z X M i I F Z h b H V l P S J z W y Z x d W 9 0 O 1 B h X H U w M E V E c y Z x d W 9 0 O y w m c X V v d D t Q c m 9 k d W N 0 b y Z x d W 9 0 O y w m c X V v d D t W Y W x v c i A o V V N E K S Z x d W 9 0 O y w m c X V v d D t B X H U w M E Y x b y Z x d W 9 0 O 1 0 i I C 8 + P E V u d H J 5 I F R 5 c G U 9 I k Z p b G x U Y X J n Z X Q i I F Z h b H V l P S J z R D J f U F F f R X h w b 3 J 0 Y W N p b 2 5 l c z k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3 V u d C I g V m F s d W U 9 I m w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l 9 Q U V 9 F e H B v c n R h Y 2 l v b m V z L 0 F 1 d G 9 S Z W 1 v d m V k Q 2 9 s d W 1 u c z E u e 1 B h X H U w M E V E c y w w f S Z x d W 9 0 O y w m c X V v d D t T Z W N 0 a W 9 u M S 9 E M l 9 Q U V 9 F e H B v c n R h Y 2 l v b m V z L 0 F 1 d G 9 S Z W 1 v d m V k Q 2 9 s d W 1 u c z E u e 1 B y b 2 R 1 Y 3 R v L D F 9 J n F 1 b 3 Q 7 L C Z x d W 9 0 O 1 N l Y 3 R p b 2 4 x L 0 Q y X 1 B R X 0 V 4 c G 9 y d G F j a W 9 u Z X M v Q X V 0 b 1 J l b W 9 2 Z W R D b 2 x 1 b W 5 z M S 5 7 V m F s b 3 I g K F V T R C k s M n 0 m c X V v d D s s J n F 1 b 3 Q 7 U 2 V j d G l v b j E v R D J f U F F f R X h w b 3 J 0 Y W N p b 2 5 l c y 9 B d X R v U m V t b 3 Z l Z E N v b H V t b n M x L n t B X H U w M E Y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M l 9 Q U V 9 F e H B v c n R h Y 2 l v b m V z L 0 F 1 d G 9 S Z W 1 v d m V k Q 2 9 s d W 1 u c z E u e 1 B h X H U w M E V E c y w w f S Z x d W 9 0 O y w m c X V v d D t T Z W N 0 a W 9 u M S 9 E M l 9 Q U V 9 F e H B v c n R h Y 2 l v b m V z L 0 F 1 d G 9 S Z W 1 v d m V k Q 2 9 s d W 1 u c z E u e 1 B y b 2 R 1 Y 3 R v L D F 9 J n F 1 b 3 Q 7 L C Z x d W 9 0 O 1 N l Y 3 R p b 2 4 x L 0 Q y X 1 B R X 0 V 4 c G 9 y d G F j a W 9 u Z X M v Q X V 0 b 1 J l b W 9 2 Z W R D b 2 x 1 b W 5 z M S 5 7 V m F s b 3 I g K F V T R C k s M n 0 m c X V v d D s s J n F 1 b 3 Q 7 U 2 V j d G l v b j E v R D J f U F F f R X h w b 3 J 0 Y W N p b 2 5 l c y 9 B d X R v U m V t b 3 Z l Z E N v b H V t b n M x L n t B X H U w M E Y x b y w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y X 1 B R X 0 V 4 c G 9 y d G F j a W 9 u Z X M l M j A l M j g y J T I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X 1 B R X 0 V 4 c G 9 y d G F j a W 9 u Z X M l M j A l M j g y J T I 5 L 0 5 h d m V n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X 1 B R X 0 V 4 c G 9 y d G F j a W 9 u Z X M l M j A l M j g y J T I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X 1 B R X 0 V 4 c G 9 y d G F j a W 9 u Z X M l M j A l M j g y J T I 5 L 1 R p c G 8 l M j B k Z S U y M G N v b H V t b m E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X 1 B R X 0 V 4 c G 9 y d G F j a W 9 u Z X M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Z h M W Q 1 N z Q t N z g 5 N C 0 0 Z m Y y L T g 0 N z M t N G I 2 M T U x O W I 3 N j Q 2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s d W 1 u T m F t Z X M i I F Z h b H V l P S J z W y Z x d W 9 0 O 1 B h X H U w M E V E c y Z x d W 9 0 O y w m c X V v d D t Q c m 9 k d W N 0 b y Z x d W 9 0 O y w m c X V v d D t W Y W x v c i A o V V N E K S Z x d W 9 0 O y w m c X V v d D t B X H U w M E Y x b y Z x d W 9 0 O 1 0 i I C 8 + P E V u d H J 5 I F R 5 c G U 9 I k Z p b G x D b 2 x 1 b W 5 U e X B l c y I g V m F s d W U 9 I n N C Z 1 l E Q X c 9 P S I g L z 4 8 R W 5 0 c n k g V H l w Z T 0 i R m l s b F N 0 Y X R 1 c y I g V m F s d W U 9 I n N D b 2 1 w b G V 0 Z S I g L z 4 8 R W 5 0 c n k g V H l w Z T 0 i R m l s b E x h c 3 R V c G R h d G V k I i B W Y W x 1 Z T 0 i Z D I w M j U t M D Q t M D l U M j A 6 M z c 6 M z M u O D c z M T k 0 M F o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Z p b G x D b 3 V u d C I g V m F s d W U 9 I m w 1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y X 1 B R X 0 V 4 c G 9 y d G F j a W 9 u Z X M v Q X V 0 b 1 J l b W 9 2 Z W R D b 2 x 1 b W 5 z M S 5 7 U G F c d T A w R U R z L D B 9 J n F 1 b 3 Q 7 L C Z x d W 9 0 O 1 N l Y 3 R p b 2 4 x L 0 Q y X 1 B R X 0 V 4 c G 9 y d G F j a W 9 u Z X M v Q X V 0 b 1 J l b W 9 2 Z W R D b 2 x 1 b W 5 z M S 5 7 U H J v Z H V j d G 8 s M X 0 m c X V v d D s s J n F 1 b 3 Q 7 U 2 V j d G l v b j E v R D J f U F F f R X h w b 3 J 0 Y W N p b 2 5 l c y 9 B d X R v U m V t b 3 Z l Z E N v b H V t b n M x L n t W Y W x v c i A o V V N E K S w y f S Z x d W 9 0 O y w m c X V v d D t T Z W N 0 a W 9 u M S 9 E M l 9 Q U V 9 F e H B v c n R h Y 2 l v b m V z L 0 F 1 d G 9 S Z W 1 v d m V k Q 2 9 s d W 1 u c z E u e 0 F c d T A w R j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Q y X 1 B R X 0 V 4 c G 9 y d G F j a W 9 u Z X M v Q X V 0 b 1 J l b W 9 2 Z W R D b 2 x 1 b W 5 z M S 5 7 U G F c d T A w R U R z L D B 9 J n F 1 b 3 Q 7 L C Z x d W 9 0 O 1 N l Y 3 R p b 2 4 x L 0 Q y X 1 B R X 0 V 4 c G 9 y d G F j a W 9 u Z X M v Q X V 0 b 1 J l b W 9 2 Z W R D b 2 x 1 b W 5 z M S 5 7 U H J v Z H V j d G 8 s M X 0 m c X V v d D s s J n F 1 b 3 Q 7 U 2 V j d G l v b j E v R D J f U F F f R X h w b 3 J 0 Y W N p b 2 5 l c y 9 B d X R v U m V t b 3 Z l Z E N v b H V t b n M x L n t W Y W x v c i A o V V N E K S w y f S Z x d W 9 0 O y w m c X V v d D t T Z W N 0 a W 9 u M S 9 E M l 9 Q U V 9 F e H B v c n R h Y 2 l v b m V z L 0 F 1 d G 9 S Z W 1 v d m V k Q 2 9 s d W 1 u c z E u e 0 F c d T A w R j F v L D N 9 J n F 1 b 3 Q 7 X S w m c X V v d D t S Z W x h d G l v b n N o a X B J b m Z v J n F 1 b 3 Q 7 O l t d f S I g L z 4 8 R W 5 0 c n k g V H l w Z T 0 i R m l s b E V y c m 9 y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y X 1 B R X 0 V 4 c G 9 y d G F j a W 9 u Z X M l M j A l M j g z J T I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X 1 B R X 0 V 4 c G 9 y d G F j a W 9 u Z X M l M j A l M j g z J T I 5 L 0 5 h d m V n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X 1 B R X 0 V 4 c G 9 y d G F j a W 9 u Z X M l M j A l M j g z J T I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X 1 B R X 0 V 4 c G 9 y d G F j a W 9 u Z X M l M j A l M j g z J T I 5 L 1 R p c G 8 l M j B k Z S U y M G N v b H V t b m E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1 U V O c d X f 2 y U F a J G c U 5 5 Y a l + 9 j R K V 2 C W z 5 u Z p b W T g s c f A n K b l k + 7 9 i g t d W E g C W 8 + g f A M n t Y a 6 T c 2 a z n O Q I G B N 5 4 T K 6 4 9 1 R N x R 8 G b K 6 G q H a 0 m O c P 6 N Z V c V Y R e x w / 7 U i F I V + + E i S < / D a t a M a s h u p > 
</file>

<file path=customXml/itemProps1.xml><?xml version="1.0" encoding="utf-8"?>
<ds:datastoreItem xmlns:ds="http://schemas.openxmlformats.org/officeDocument/2006/customXml" ds:itemID="{5AACAA3B-9D61-AC49-B586-DCD5A8D251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PQ_ExportacionesD8</vt:lpstr>
      <vt:lpstr>D7_ResumenEscenarios</vt:lpstr>
      <vt:lpstr>D7_Solver</vt:lpstr>
      <vt:lpstr>D6_FormatoValidación</vt:lpstr>
      <vt:lpstr>D5_Dashboard</vt:lpstr>
      <vt:lpstr>D4_Funciones</vt:lpstr>
      <vt:lpstr>D3_TablaDinamica_Pro</vt:lpstr>
      <vt:lpstr>D3_TablaPQ_Pro</vt:lpstr>
      <vt:lpstr>D3_TablaDinamica</vt:lpstr>
      <vt:lpstr>D3_TablaPQ</vt:lpstr>
      <vt:lpstr>D2_PQ_Combinada</vt:lpstr>
      <vt:lpstr>D2_Exportaciones2023</vt:lpstr>
      <vt:lpstr>D2_Exportaciones2021</vt:lpstr>
      <vt:lpstr>D2_PQ_Exportaciones</vt:lpstr>
      <vt:lpstr>D2_TablaOriginal</vt:lpstr>
      <vt:lpstr>D1_ExportacionesVino</vt:lpstr>
      <vt:lpstr>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 Llatas Beny</dc:creator>
  <cp:lastModifiedBy>Belen Llatas Beny</cp:lastModifiedBy>
  <dcterms:created xsi:type="dcterms:W3CDTF">2025-04-08T18:18:29Z</dcterms:created>
  <dcterms:modified xsi:type="dcterms:W3CDTF">2025-06-07T16:13:58Z</dcterms:modified>
</cp:coreProperties>
</file>