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lenllatas/Desktop/COSAS/Otros/Portfolio/Proyecto Excel Avanzado para Logística-Finanzas/Github/"/>
    </mc:Choice>
  </mc:AlternateContent>
  <xr:revisionPtr revIDLastSave="0" documentId="13_ncr:1_{F4FC1C30-2E2B-6144-A613-965EE9176E24}" xr6:coauthVersionLast="47" xr6:coauthVersionMax="47" xr10:uidLastSave="{00000000-0000-0000-0000-000000000000}"/>
  <bookViews>
    <workbookView xWindow="320" yWindow="500" windowWidth="28020" windowHeight="15940" activeTab="3" xr2:uid="{0CC2999F-A9E6-134F-98CC-41F67973F5E3}"/>
  </bookViews>
  <sheets>
    <sheet name="PQ_Exportaciones2023" sheetId="3" state="hidden" r:id="rId1"/>
    <sheet name="PQ_ProductoPais" sheetId="5" state="hidden" r:id="rId2"/>
    <sheet name="1_Datos" sheetId="1" r:id="rId3"/>
    <sheet name="2_Modelo" sheetId="4" r:id="rId4"/>
    <sheet name="3_Dashboard" sheetId="6" r:id="rId5"/>
    <sheet name="4_Solver_Escenarios" sheetId="8" r:id="rId6"/>
    <sheet name="5_Control_Validado" sheetId="9" r:id="rId7"/>
    <sheet name="6_Resumen" sheetId="10" r:id="rId8"/>
  </sheets>
  <definedNames>
    <definedName name="DatosExternos_1" localSheetId="0" hidden="1">PQ_Exportaciones2023!$A$1:$E$151</definedName>
    <definedName name="DatosExternos_1" localSheetId="1" hidden="1">PQ_ProductoPais!$A$1:$B$74</definedName>
    <definedName name="solver_adj" localSheetId="5" hidden="1">'4_Solver_Escenarios'!$H$8:$H$80</definedName>
    <definedName name="solver_cvg" localSheetId="5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5" hidden="1">2</definedName>
    <definedName name="solver_eng" localSheetId="5" hidden="1">2</definedName>
    <definedName name="solver_itr" localSheetId="5" hidden="1">2147483647</definedName>
    <definedName name="solver_lhs1" localSheetId="5" hidden="1">'4_Solver_Escenarios'!$H$8:$H$80</definedName>
    <definedName name="solver_lhs10" localSheetId="5" hidden="1">'4_Solver_Escenarios'!$O$190</definedName>
    <definedName name="solver_lhs11" localSheetId="5" hidden="1">'4_Solver_Escenarios'!$O$191</definedName>
    <definedName name="solver_lhs2" localSheetId="5" hidden="1">'4_Solver_Escenarios'!$H$8:$H$80</definedName>
    <definedName name="solver_lhs3" localSheetId="5" hidden="1">'4_Solver_Escenarios'!$H$8:$H$80</definedName>
    <definedName name="solver_lhs4" localSheetId="5" hidden="1">'4_Solver_Escenarios'!$O$8:$O$15</definedName>
    <definedName name="solver_lhs5" localSheetId="5" hidden="1">'4_Solver_Escenarios'!$O$184:$O$191</definedName>
    <definedName name="solver_lhs6" localSheetId="5" hidden="1">'4_Solver_Escenarios'!$O$186</definedName>
    <definedName name="solver_lhs7" localSheetId="5" hidden="1">'4_Solver_Escenarios'!$O$187</definedName>
    <definedName name="solver_lhs8" localSheetId="5" hidden="1">'4_Solver_Escenarios'!$O$188</definedName>
    <definedName name="solver_lhs9" localSheetId="5" hidden="1">'4_Solver_Escenarios'!$O$189</definedName>
    <definedName name="solver_lin" localSheetId="5" hidden="1">1</definedName>
    <definedName name="solver_mip" localSheetId="5" hidden="1">2147483647</definedName>
    <definedName name="solver_mni" localSheetId="5" hidden="1">30</definedName>
    <definedName name="solver_mrt" localSheetId="5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4</definedName>
    <definedName name="solver_opt" localSheetId="5" hidden="1">'4_Solver_Escenarios'!$L$8</definedName>
    <definedName name="solver_pre" localSheetId="5" hidden="1">0.000001</definedName>
    <definedName name="solver_rbv" localSheetId="5" hidden="1">2</definedName>
    <definedName name="solver_rel1" localSheetId="5" hidden="1">1</definedName>
    <definedName name="solver_rel10" localSheetId="5" hidden="1">1</definedName>
    <definedName name="solver_rel11" localSheetId="5" hidden="1">1</definedName>
    <definedName name="solver_rel2" localSheetId="5" hidden="1">4</definedName>
    <definedName name="solver_rel3" localSheetId="5" hidden="1">3</definedName>
    <definedName name="solver_rel4" localSheetId="5" hidden="1">1</definedName>
    <definedName name="solver_rel5" localSheetId="5" hidden="1">1</definedName>
    <definedName name="solver_rel6" localSheetId="5" hidden="1">1</definedName>
    <definedName name="solver_rel7" localSheetId="5" hidden="1">1</definedName>
    <definedName name="solver_rel8" localSheetId="5" hidden="1">1</definedName>
    <definedName name="solver_rel9" localSheetId="5" hidden="1">1</definedName>
    <definedName name="solver_rhs1" localSheetId="5" hidden="1">'4_Solver_Escenarios'!$E$8:$E$80</definedName>
    <definedName name="solver_rhs10" localSheetId="5" hidden="1">'4_Solver_Escenarios'!$P$190</definedName>
    <definedName name="solver_rhs11" localSheetId="5" hidden="1">'4_Solver_Escenarios'!$P$191</definedName>
    <definedName name="solver_rhs2" localSheetId="5" hidden="1">"entero"</definedName>
    <definedName name="solver_rhs3" localSheetId="5" hidden="1">0</definedName>
    <definedName name="solver_rhs4" localSheetId="5" hidden="1">'4_Solver_Escenarios'!$P$8:$P$15</definedName>
    <definedName name="solver_rhs5" localSheetId="5" hidden="1">'4_Solver_Escenarios'!$P$184:$P$191</definedName>
    <definedName name="solver_rhs6" localSheetId="5" hidden="1">'4_Solver_Escenarios'!$P$186</definedName>
    <definedName name="solver_rhs7" localSheetId="5" hidden="1">'4_Solver_Escenarios'!$P$187</definedName>
    <definedName name="solver_rhs8" localSheetId="5" hidden="1">'4_Solver_Escenarios'!$P$188</definedName>
    <definedName name="solver_rhs9" localSheetId="5" hidden="1">'4_Solver_Escenarios'!$P$189</definedName>
    <definedName name="solver_rlx" localSheetId="5" hidden="1">2</definedName>
    <definedName name="solver_rsd" localSheetId="5" hidden="1">0</definedName>
    <definedName name="solver_scl" localSheetId="5" hidden="1">2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1</definedName>
    <definedName name="solver_typ" localSheetId="5" hidden="1">1</definedName>
    <definedName name="solver_val" localSheetId="5" hidden="1">0</definedName>
    <definedName name="solver_ver" localSheetId="5" hidden="1">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9" l="1" a="1"/>
  <c r="G6" i="9" s="1"/>
  <c r="D9" i="10"/>
  <c r="B9" i="10"/>
  <c r="D6" i="10"/>
  <c r="B6" i="10"/>
  <c r="B7" i="10"/>
  <c r="D7" i="10"/>
  <c r="L16" i="6"/>
  <c r="L10" i="6"/>
  <c r="L11" i="6"/>
  <c r="L12" i="6"/>
  <c r="L13" i="6"/>
  <c r="L14" i="6"/>
  <c r="L15" i="6"/>
  <c r="L9" i="6"/>
  <c r="F49" i="1"/>
  <c r="N26" i="4" a="1"/>
  <c r="N26" i="4" s="1"/>
  <c r="A20" i="6" a="1"/>
  <c r="A20" i="6" s="1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7" i="9" a="1"/>
  <c r="G7" i="9" s="1"/>
  <c r="G8" i="9" a="1"/>
  <c r="G8" i="9" s="1"/>
  <c r="G9" i="9" a="1"/>
  <c r="G9" i="9" s="1"/>
  <c r="G10" i="9" a="1"/>
  <c r="G10" i="9" s="1"/>
  <c r="G11" i="9" a="1"/>
  <c r="G11" i="9" s="1"/>
  <c r="G12" i="9" a="1"/>
  <c r="G12" i="9" s="1"/>
  <c r="G13" i="9" a="1"/>
  <c r="G13" i="9" s="1"/>
  <c r="G14" i="9" a="1"/>
  <c r="G14" i="9"/>
  <c r="G15" i="9" a="1"/>
  <c r="G15" i="9" s="1"/>
  <c r="A7" i="9"/>
  <c r="A8" i="9"/>
  <c r="A9" i="9"/>
  <c r="A10" i="9"/>
  <c r="A15" i="9"/>
  <c r="A14" i="9"/>
  <c r="A13" i="9"/>
  <c r="A12" i="9"/>
  <c r="A11" i="9"/>
  <c r="A6" i="9"/>
  <c r="O184" i="8"/>
  <c r="P184" i="8"/>
  <c r="O185" i="8"/>
  <c r="O186" i="8"/>
  <c r="O187" i="8"/>
  <c r="O188" i="8"/>
  <c r="O189" i="8"/>
  <c r="O190" i="8"/>
  <c r="O191" i="8"/>
  <c r="P186" i="8"/>
  <c r="P185" i="8"/>
  <c r="P187" i="8"/>
  <c r="P188" i="8"/>
  <c r="P189" i="8"/>
  <c r="P190" i="8"/>
  <c r="P191" i="8"/>
  <c r="O9" i="8"/>
  <c r="O102" i="8"/>
  <c r="O96" i="8"/>
  <c r="O97" i="8"/>
  <c r="O98" i="8"/>
  <c r="O99" i="8"/>
  <c r="O100" i="8"/>
  <c r="O101" i="8"/>
  <c r="O95" i="8"/>
  <c r="O8" i="8"/>
  <c r="P95" i="8"/>
  <c r="P11" i="8"/>
  <c r="P8" i="8"/>
  <c r="P9" i="8"/>
  <c r="P10" i="8"/>
  <c r="P12" i="8"/>
  <c r="P13" i="8"/>
  <c r="P14" i="8"/>
  <c r="P15" i="8"/>
  <c r="P96" i="8"/>
  <c r="P99" i="8"/>
  <c r="P97" i="8"/>
  <c r="P98" i="8"/>
  <c r="P100" i="8"/>
  <c r="P101" i="8"/>
  <c r="P102" i="8"/>
  <c r="C167" i="8"/>
  <c r="D167" i="8" s="1"/>
  <c r="C166" i="8"/>
  <c r="D166" i="8" s="1"/>
  <c r="C165" i="8"/>
  <c r="D165" i="8" s="1"/>
  <c r="C164" i="8"/>
  <c r="D164" i="8" s="1"/>
  <c r="C163" i="8"/>
  <c r="D163" i="8" s="1"/>
  <c r="C162" i="8"/>
  <c r="D162" i="8" s="1"/>
  <c r="C161" i="8"/>
  <c r="D161" i="8" s="1"/>
  <c r="C160" i="8"/>
  <c r="D160" i="8" s="1"/>
  <c r="C159" i="8"/>
  <c r="D159" i="8" s="1"/>
  <c r="C158" i="8"/>
  <c r="D158" i="8" s="1"/>
  <c r="C157" i="8"/>
  <c r="D157" i="8" s="1"/>
  <c r="C156" i="8"/>
  <c r="D156" i="8" s="1"/>
  <c r="C155" i="8"/>
  <c r="D155" i="8" s="1"/>
  <c r="C154" i="8"/>
  <c r="D154" i="8" s="1"/>
  <c r="C153" i="8"/>
  <c r="D153" i="8" s="1"/>
  <c r="C152" i="8"/>
  <c r="D152" i="8" s="1"/>
  <c r="C151" i="8"/>
  <c r="D151" i="8" s="1"/>
  <c r="C150" i="8"/>
  <c r="D150" i="8" s="1"/>
  <c r="C149" i="8"/>
  <c r="D149" i="8" s="1"/>
  <c r="C148" i="8"/>
  <c r="D148" i="8" s="1"/>
  <c r="C147" i="8"/>
  <c r="D147" i="8" s="1"/>
  <c r="C146" i="8"/>
  <c r="D146" i="8" s="1"/>
  <c r="C145" i="8"/>
  <c r="D145" i="8" s="1"/>
  <c r="C144" i="8"/>
  <c r="D144" i="8" s="1"/>
  <c r="C143" i="8"/>
  <c r="D143" i="8" s="1"/>
  <c r="C142" i="8"/>
  <c r="D142" i="8" s="1"/>
  <c r="C141" i="8"/>
  <c r="D141" i="8" s="1"/>
  <c r="C140" i="8"/>
  <c r="D140" i="8" s="1"/>
  <c r="C139" i="8"/>
  <c r="D139" i="8" s="1"/>
  <c r="C138" i="8"/>
  <c r="D138" i="8" s="1"/>
  <c r="C137" i="8"/>
  <c r="D137" i="8" s="1"/>
  <c r="C136" i="8"/>
  <c r="D136" i="8" s="1"/>
  <c r="C135" i="8"/>
  <c r="D135" i="8" s="1"/>
  <c r="C134" i="8"/>
  <c r="D134" i="8" s="1"/>
  <c r="C133" i="8"/>
  <c r="D133" i="8" s="1"/>
  <c r="C132" i="8"/>
  <c r="D132" i="8" s="1"/>
  <c r="C131" i="8"/>
  <c r="D131" i="8" s="1"/>
  <c r="C130" i="8"/>
  <c r="D130" i="8" s="1"/>
  <c r="C129" i="8"/>
  <c r="D129" i="8" s="1"/>
  <c r="C128" i="8"/>
  <c r="D128" i="8" s="1"/>
  <c r="C127" i="8"/>
  <c r="D127" i="8" s="1"/>
  <c r="C126" i="8"/>
  <c r="D126" i="8" s="1"/>
  <c r="C125" i="8"/>
  <c r="D125" i="8" s="1"/>
  <c r="C124" i="8"/>
  <c r="D124" i="8" s="1"/>
  <c r="C123" i="8"/>
  <c r="D123" i="8" s="1"/>
  <c r="C122" i="8"/>
  <c r="D122" i="8" s="1"/>
  <c r="C121" i="8"/>
  <c r="D121" i="8" s="1"/>
  <c r="C120" i="8"/>
  <c r="D120" i="8" s="1"/>
  <c r="C119" i="8"/>
  <c r="D119" i="8" s="1"/>
  <c r="C118" i="8"/>
  <c r="D118" i="8" s="1"/>
  <c r="C117" i="8"/>
  <c r="D117" i="8" s="1"/>
  <c r="C116" i="8"/>
  <c r="D116" i="8" s="1"/>
  <c r="C115" i="8"/>
  <c r="D115" i="8" s="1"/>
  <c r="C114" i="8"/>
  <c r="D114" i="8" s="1"/>
  <c r="C113" i="8"/>
  <c r="D113" i="8" s="1"/>
  <c r="C112" i="8"/>
  <c r="D112" i="8" s="1"/>
  <c r="C111" i="8"/>
  <c r="D111" i="8" s="1"/>
  <c r="C110" i="8"/>
  <c r="D110" i="8" s="1"/>
  <c r="C109" i="8"/>
  <c r="D109" i="8" s="1"/>
  <c r="C108" i="8"/>
  <c r="D108" i="8" s="1"/>
  <c r="C107" i="8"/>
  <c r="D107" i="8" s="1"/>
  <c r="C106" i="8"/>
  <c r="D106" i="8" s="1"/>
  <c r="C105" i="8"/>
  <c r="D105" i="8" s="1"/>
  <c r="C104" i="8"/>
  <c r="D104" i="8" s="1"/>
  <c r="C103" i="8"/>
  <c r="D103" i="8" s="1"/>
  <c r="C102" i="8"/>
  <c r="D102" i="8" s="1"/>
  <c r="C101" i="8"/>
  <c r="D101" i="8" s="1"/>
  <c r="C100" i="8"/>
  <c r="D100" i="8" s="1"/>
  <c r="C99" i="8"/>
  <c r="D99" i="8" s="1"/>
  <c r="C98" i="8"/>
  <c r="D98" i="8" s="1"/>
  <c r="C97" i="8"/>
  <c r="D97" i="8" s="1"/>
  <c r="C96" i="8"/>
  <c r="D96" i="8" s="1"/>
  <c r="C95" i="8"/>
  <c r="D95" i="8" s="1"/>
  <c r="O12" i="8"/>
  <c r="O10" i="8"/>
  <c r="O11" i="8"/>
  <c r="O13" i="8"/>
  <c r="O14" i="8"/>
  <c r="O15" i="8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C16" i="8"/>
  <c r="D16" i="8" s="1"/>
  <c r="C17" i="8"/>
  <c r="D17" i="8" s="1"/>
  <c r="C18" i="8"/>
  <c r="D18" i="8" s="1"/>
  <c r="C19" i="8"/>
  <c r="D19" i="8" s="1"/>
  <c r="C20" i="8"/>
  <c r="D20" i="8" s="1"/>
  <c r="C21" i="8"/>
  <c r="D21" i="8" s="1"/>
  <c r="C22" i="8"/>
  <c r="D22" i="8" s="1"/>
  <c r="C23" i="8"/>
  <c r="C24" i="8"/>
  <c r="D24" i="8" s="1"/>
  <c r="C25" i="8"/>
  <c r="D25" i="8" s="1"/>
  <c r="C26" i="8"/>
  <c r="D26" i="8" s="1"/>
  <c r="C27" i="8"/>
  <c r="D27" i="8" s="1"/>
  <c r="C28" i="8"/>
  <c r="D28" i="8" s="1"/>
  <c r="C29" i="8"/>
  <c r="D29" i="8" s="1"/>
  <c r="C30" i="8"/>
  <c r="D30" i="8" s="1"/>
  <c r="C31" i="8"/>
  <c r="C32" i="8"/>
  <c r="D32" i="8" s="1"/>
  <c r="C33" i="8"/>
  <c r="D33" i="8" s="1"/>
  <c r="C34" i="8"/>
  <c r="D34" i="8" s="1"/>
  <c r="C35" i="8"/>
  <c r="D35" i="8" s="1"/>
  <c r="C36" i="8"/>
  <c r="D36" i="8" s="1"/>
  <c r="C37" i="8"/>
  <c r="D37" i="8" s="1"/>
  <c r="C38" i="8"/>
  <c r="D38" i="8" s="1"/>
  <c r="C39" i="8"/>
  <c r="C40" i="8"/>
  <c r="D40" i="8" s="1"/>
  <c r="C41" i="8"/>
  <c r="D41" i="8" s="1"/>
  <c r="C42" i="8"/>
  <c r="D42" i="8" s="1"/>
  <c r="C43" i="8"/>
  <c r="D43" i="8" s="1"/>
  <c r="C44" i="8"/>
  <c r="D44" i="8" s="1"/>
  <c r="C45" i="8"/>
  <c r="D45" i="8" s="1"/>
  <c r="C46" i="8"/>
  <c r="D46" i="8" s="1"/>
  <c r="C47" i="8"/>
  <c r="C48" i="8"/>
  <c r="D48" i="8" s="1"/>
  <c r="C49" i="8"/>
  <c r="D49" i="8" s="1"/>
  <c r="C50" i="8"/>
  <c r="D50" i="8" s="1"/>
  <c r="C51" i="8"/>
  <c r="D51" i="8" s="1"/>
  <c r="C52" i="8"/>
  <c r="D52" i="8" s="1"/>
  <c r="C53" i="8"/>
  <c r="D53" i="8" s="1"/>
  <c r="C54" i="8"/>
  <c r="D54" i="8" s="1"/>
  <c r="C55" i="8"/>
  <c r="C56" i="8"/>
  <c r="D56" i="8" s="1"/>
  <c r="C57" i="8"/>
  <c r="D57" i="8" s="1"/>
  <c r="C58" i="8"/>
  <c r="D58" i="8" s="1"/>
  <c r="C59" i="8"/>
  <c r="D59" i="8" s="1"/>
  <c r="C60" i="8"/>
  <c r="D60" i="8" s="1"/>
  <c r="C61" i="8"/>
  <c r="D61" i="8" s="1"/>
  <c r="C62" i="8"/>
  <c r="D62" i="8" s="1"/>
  <c r="C63" i="8"/>
  <c r="C64" i="8"/>
  <c r="D64" i="8" s="1"/>
  <c r="C65" i="8"/>
  <c r="D65" i="8" s="1"/>
  <c r="C66" i="8"/>
  <c r="D66" i="8" s="1"/>
  <c r="C67" i="8"/>
  <c r="D67" i="8" s="1"/>
  <c r="C68" i="8"/>
  <c r="D68" i="8" s="1"/>
  <c r="C69" i="8"/>
  <c r="D69" i="8" s="1"/>
  <c r="C70" i="8"/>
  <c r="D70" i="8" s="1"/>
  <c r="C71" i="8"/>
  <c r="C72" i="8"/>
  <c r="D72" i="8" s="1"/>
  <c r="C73" i="8"/>
  <c r="D73" i="8" s="1"/>
  <c r="C74" i="8"/>
  <c r="D74" i="8" s="1"/>
  <c r="C75" i="8"/>
  <c r="D75" i="8" s="1"/>
  <c r="C76" i="8"/>
  <c r="D76" i="8" s="1"/>
  <c r="C77" i="8"/>
  <c r="D77" i="8" s="1"/>
  <c r="C78" i="8"/>
  <c r="D78" i="8" s="1"/>
  <c r="C79" i="8"/>
  <c r="C80" i="8"/>
  <c r="D80" i="8" s="1"/>
  <c r="C8" i="8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N8" i="4" a="1"/>
  <c r="N8" i="4" s="1"/>
  <c r="Q184" i="8" l="1"/>
  <c r="Q97" i="8"/>
  <c r="G253" i="8"/>
  <c r="J253" i="8" s="1"/>
  <c r="Q185" i="8"/>
  <c r="G237" i="8"/>
  <c r="J237" i="8" s="1"/>
  <c r="G229" i="8"/>
  <c r="J229" i="8" s="1"/>
  <c r="G221" i="8"/>
  <c r="J221" i="8" s="1"/>
  <c r="G213" i="8"/>
  <c r="J213" i="8" s="1"/>
  <c r="G205" i="8"/>
  <c r="J205" i="8" s="1"/>
  <c r="G197" i="8"/>
  <c r="J197" i="8" s="1"/>
  <c r="G251" i="8"/>
  <c r="J251" i="8" s="1"/>
  <c r="G189" i="8"/>
  <c r="J189" i="8" s="1"/>
  <c r="G245" i="8"/>
  <c r="J245" i="8" s="1"/>
  <c r="G254" i="8"/>
  <c r="J254" i="8" s="1"/>
  <c r="G246" i="8"/>
  <c r="J246" i="8" s="1"/>
  <c r="G238" i="8"/>
  <c r="J238" i="8" s="1"/>
  <c r="G230" i="8"/>
  <c r="J230" i="8" s="1"/>
  <c r="G222" i="8"/>
  <c r="J222" i="8" s="1"/>
  <c r="G214" i="8"/>
  <c r="J214" i="8" s="1"/>
  <c r="G206" i="8"/>
  <c r="J206" i="8" s="1"/>
  <c r="G198" i="8"/>
  <c r="J198" i="8" s="1"/>
  <c r="G190" i="8"/>
  <c r="J190" i="8" s="1"/>
  <c r="G252" i="8"/>
  <c r="I252" i="8" s="1"/>
  <c r="G244" i="8"/>
  <c r="I244" i="8" s="1"/>
  <c r="G236" i="8"/>
  <c r="I236" i="8" s="1"/>
  <c r="G228" i="8"/>
  <c r="I228" i="8" s="1"/>
  <c r="G220" i="8"/>
  <c r="I220" i="8" s="1"/>
  <c r="G212" i="8"/>
  <c r="I212" i="8" s="1"/>
  <c r="G204" i="8"/>
  <c r="I204" i="8" s="1"/>
  <c r="G196" i="8"/>
  <c r="I196" i="8" s="1"/>
  <c r="G188" i="8"/>
  <c r="I188" i="8" s="1"/>
  <c r="G243" i="8"/>
  <c r="I243" i="8" s="1"/>
  <c r="G235" i="8"/>
  <c r="J235" i="8" s="1"/>
  <c r="G227" i="8"/>
  <c r="J227" i="8" s="1"/>
  <c r="G219" i="8"/>
  <c r="I219" i="8" s="1"/>
  <c r="G211" i="8"/>
  <c r="I211" i="8" s="1"/>
  <c r="G203" i="8"/>
  <c r="J203" i="8" s="1"/>
  <c r="G195" i="8"/>
  <c r="I195" i="8" s="1"/>
  <c r="G187" i="8"/>
  <c r="J187" i="8" s="1"/>
  <c r="G250" i="8"/>
  <c r="J250" i="8" s="1"/>
  <c r="G242" i="8"/>
  <c r="I242" i="8" s="1"/>
  <c r="G234" i="8"/>
  <c r="J234" i="8" s="1"/>
  <c r="G226" i="8"/>
  <c r="J226" i="8" s="1"/>
  <c r="G218" i="8"/>
  <c r="I218" i="8" s="1"/>
  <c r="G210" i="8"/>
  <c r="J210" i="8" s="1"/>
  <c r="G202" i="8"/>
  <c r="J202" i="8" s="1"/>
  <c r="G194" i="8"/>
  <c r="I194" i="8" s="1"/>
  <c r="G186" i="8"/>
  <c r="J186" i="8" s="1"/>
  <c r="G249" i="8"/>
  <c r="J249" i="8" s="1"/>
  <c r="G241" i="8"/>
  <c r="J241" i="8" s="1"/>
  <c r="G233" i="8"/>
  <c r="J233" i="8" s="1"/>
  <c r="G225" i="8"/>
  <c r="J225" i="8" s="1"/>
  <c r="G217" i="8"/>
  <c r="J217" i="8" s="1"/>
  <c r="G209" i="8"/>
  <c r="J209" i="8" s="1"/>
  <c r="G201" i="8"/>
  <c r="J201" i="8" s="1"/>
  <c r="G193" i="8"/>
  <c r="J193" i="8" s="1"/>
  <c r="G185" i="8"/>
  <c r="J185" i="8" s="1"/>
  <c r="G256" i="8"/>
  <c r="J256" i="8" s="1"/>
  <c r="G248" i="8"/>
  <c r="J248" i="8" s="1"/>
  <c r="G240" i="8"/>
  <c r="J240" i="8" s="1"/>
  <c r="G232" i="8"/>
  <c r="J232" i="8" s="1"/>
  <c r="G224" i="8"/>
  <c r="J224" i="8" s="1"/>
  <c r="G216" i="8"/>
  <c r="J216" i="8" s="1"/>
  <c r="G208" i="8"/>
  <c r="J208" i="8" s="1"/>
  <c r="G200" i="8"/>
  <c r="J200" i="8" s="1"/>
  <c r="G192" i="8"/>
  <c r="J192" i="8" s="1"/>
  <c r="G184" i="8"/>
  <c r="J184" i="8" s="1"/>
  <c r="Q98" i="8"/>
  <c r="G255" i="8"/>
  <c r="I255" i="8" s="1"/>
  <c r="G247" i="8"/>
  <c r="J247" i="8" s="1"/>
  <c r="G239" i="8"/>
  <c r="I239" i="8" s="1"/>
  <c r="G231" i="8"/>
  <c r="J231" i="8" s="1"/>
  <c r="G223" i="8"/>
  <c r="I223" i="8" s="1"/>
  <c r="G215" i="8"/>
  <c r="J215" i="8" s="1"/>
  <c r="G207" i="8"/>
  <c r="I207" i="8" s="1"/>
  <c r="G199" i="8"/>
  <c r="J199" i="8" s="1"/>
  <c r="G191" i="8"/>
  <c r="J191" i="8" s="1"/>
  <c r="Q186" i="8"/>
  <c r="I227" i="8"/>
  <c r="I234" i="8"/>
  <c r="Q187" i="8"/>
  <c r="Q188" i="8"/>
  <c r="I184" i="8"/>
  <c r="I222" i="8"/>
  <c r="I197" i="8"/>
  <c r="Q190" i="8"/>
  <c r="Q189" i="8"/>
  <c r="Q191" i="8"/>
  <c r="Q96" i="8"/>
  <c r="Q102" i="8"/>
  <c r="Q101" i="8"/>
  <c r="Q99" i="8"/>
  <c r="Q100" i="8"/>
  <c r="Q95" i="8"/>
  <c r="Q11" i="8"/>
  <c r="Q12" i="8"/>
  <c r="Q15" i="8"/>
  <c r="Q14" i="8"/>
  <c r="Q13" i="8"/>
  <c r="Q9" i="8"/>
  <c r="G95" i="8"/>
  <c r="G167" i="8"/>
  <c r="G159" i="8"/>
  <c r="G151" i="8"/>
  <c r="G143" i="8"/>
  <c r="G135" i="8"/>
  <c r="G127" i="8"/>
  <c r="G119" i="8"/>
  <c r="G111" i="8"/>
  <c r="G103" i="8"/>
  <c r="G166" i="8"/>
  <c r="G158" i="8"/>
  <c r="G150" i="8"/>
  <c r="G142" i="8"/>
  <c r="G134" i="8"/>
  <c r="G126" i="8"/>
  <c r="G118" i="8"/>
  <c r="G110" i="8"/>
  <c r="G102" i="8"/>
  <c r="G165" i="8"/>
  <c r="G157" i="8"/>
  <c r="G149" i="8"/>
  <c r="G141" i="8"/>
  <c r="G133" i="8"/>
  <c r="G125" i="8"/>
  <c r="G117" i="8"/>
  <c r="G109" i="8"/>
  <c r="G101" i="8"/>
  <c r="G164" i="8"/>
  <c r="G156" i="8"/>
  <c r="G148" i="8"/>
  <c r="G140" i="8"/>
  <c r="G132" i="8"/>
  <c r="G124" i="8"/>
  <c r="G116" i="8"/>
  <c r="G108" i="8"/>
  <c r="G100" i="8"/>
  <c r="Q10" i="8"/>
  <c r="G163" i="8"/>
  <c r="G155" i="8"/>
  <c r="G147" i="8"/>
  <c r="G139" i="8"/>
  <c r="G131" i="8"/>
  <c r="G123" i="8"/>
  <c r="G115" i="8"/>
  <c r="G107" i="8"/>
  <c r="G99" i="8"/>
  <c r="G162" i="8"/>
  <c r="G154" i="8"/>
  <c r="G146" i="8"/>
  <c r="G138" i="8"/>
  <c r="G130" i="8"/>
  <c r="G122" i="8"/>
  <c r="G114" i="8"/>
  <c r="G106" i="8"/>
  <c r="G98" i="8"/>
  <c r="G161" i="8"/>
  <c r="G153" i="8"/>
  <c r="G145" i="8"/>
  <c r="G137" i="8"/>
  <c r="G129" i="8"/>
  <c r="G121" i="8"/>
  <c r="G113" i="8"/>
  <c r="G105" i="8"/>
  <c r="G97" i="8"/>
  <c r="G160" i="8"/>
  <c r="G152" i="8"/>
  <c r="G144" i="8"/>
  <c r="G136" i="8"/>
  <c r="G128" i="8"/>
  <c r="G120" i="8"/>
  <c r="G112" i="8"/>
  <c r="G104" i="8"/>
  <c r="G96" i="8"/>
  <c r="Q8" i="8"/>
  <c r="J26" i="8"/>
  <c r="D79" i="8"/>
  <c r="D71" i="8"/>
  <c r="D63" i="8"/>
  <c r="D55" i="8"/>
  <c r="D47" i="8"/>
  <c r="D39" i="8"/>
  <c r="D31" i="8"/>
  <c r="D23" i="8"/>
  <c r="D15" i="8"/>
  <c r="D8" i="8"/>
  <c r="F4" i="4"/>
  <c r="E12" i="9" s="1"/>
  <c r="F12" i="9" s="1"/>
  <c r="F5" i="4"/>
  <c r="E7" i="9" s="1"/>
  <c r="F7" i="9" s="1"/>
  <c r="F6" i="4"/>
  <c r="F7" i="4"/>
  <c r="F8" i="4"/>
  <c r="F9" i="4"/>
  <c r="F10" i="4"/>
  <c r="H10" i="9" s="1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C4" i="4"/>
  <c r="O26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O28" i="4" l="1"/>
  <c r="O35" i="4"/>
  <c r="O27" i="4"/>
  <c r="O34" i="4"/>
  <c r="O33" i="4"/>
  <c r="O32" i="4"/>
  <c r="O31" i="4"/>
  <c r="O29" i="4"/>
  <c r="E9" i="9"/>
  <c r="F9" i="9" s="1"/>
  <c r="E11" i="9"/>
  <c r="F11" i="9" s="1"/>
  <c r="E10" i="9"/>
  <c r="F10" i="9" s="1"/>
  <c r="E13" i="9"/>
  <c r="F13" i="9" s="1"/>
  <c r="H15" i="9"/>
  <c r="H11" i="9"/>
  <c r="O30" i="4"/>
  <c r="E6" i="9"/>
  <c r="F6" i="9" s="1"/>
  <c r="H9" i="9"/>
  <c r="E14" i="9"/>
  <c r="F14" i="9" s="1"/>
  <c r="H13" i="9"/>
  <c r="E15" i="9"/>
  <c r="F15" i="9" s="1"/>
  <c r="H12" i="9"/>
  <c r="E8" i="9"/>
  <c r="F8" i="9" s="1"/>
  <c r="H14" i="9"/>
  <c r="I26" i="8"/>
  <c r="I233" i="8"/>
  <c r="J228" i="8"/>
  <c r="J219" i="8"/>
  <c r="I253" i="8"/>
  <c r="J220" i="8"/>
  <c r="I205" i="8"/>
  <c r="I229" i="8"/>
  <c r="I213" i="8"/>
  <c r="I237" i="8"/>
  <c r="I245" i="8"/>
  <c r="I206" i="8"/>
  <c r="J243" i="8"/>
  <c r="J194" i="8"/>
  <c r="J239" i="8"/>
  <c r="J255" i="8"/>
  <c r="I190" i="8"/>
  <c r="I225" i="8"/>
  <c r="I198" i="8"/>
  <c r="J218" i="8"/>
  <c r="I210" i="8"/>
  <c r="I202" i="8"/>
  <c r="I221" i="8"/>
  <c r="I232" i="8"/>
  <c r="I187" i="8"/>
  <c r="I224" i="8"/>
  <c r="I249" i="8"/>
  <c r="I246" i="8"/>
  <c r="J207" i="8"/>
  <c r="J195" i="8"/>
  <c r="I254" i="8"/>
  <c r="I247" i="8"/>
  <c r="I209" i="8"/>
  <c r="J196" i="8"/>
  <c r="I216" i="8"/>
  <c r="I201" i="8"/>
  <c r="J188" i="8"/>
  <c r="J242" i="8"/>
  <c r="I248" i="8"/>
  <c r="J223" i="8"/>
  <c r="I200" i="8"/>
  <c r="I231" i="8"/>
  <c r="J252" i="8"/>
  <c r="I214" i="8"/>
  <c r="I251" i="8"/>
  <c r="I192" i="8"/>
  <c r="I230" i="8"/>
  <c r="I215" i="8"/>
  <c r="I193" i="8"/>
  <c r="J211" i="8"/>
  <c r="I238" i="8"/>
  <c r="I208" i="8"/>
  <c r="I186" i="8"/>
  <c r="I250" i="8"/>
  <c r="I189" i="8"/>
  <c r="I240" i="8"/>
  <c r="J244" i="8"/>
  <c r="I256" i="8"/>
  <c r="I191" i="8"/>
  <c r="J204" i="8"/>
  <c r="J212" i="8"/>
  <c r="I235" i="8"/>
  <c r="I199" i="8"/>
  <c r="I185" i="8"/>
  <c r="J236" i="8"/>
  <c r="I226" i="8"/>
  <c r="I203" i="8"/>
  <c r="I217" i="8"/>
  <c r="I241" i="8"/>
  <c r="J120" i="8"/>
  <c r="I120" i="8"/>
  <c r="J113" i="8"/>
  <c r="I113" i="8"/>
  <c r="J106" i="8"/>
  <c r="I106" i="8"/>
  <c r="J99" i="8"/>
  <c r="I99" i="8"/>
  <c r="J163" i="8"/>
  <c r="I163" i="8"/>
  <c r="J148" i="8"/>
  <c r="I148" i="8"/>
  <c r="I141" i="8"/>
  <c r="J141" i="8"/>
  <c r="I134" i="8"/>
  <c r="J134" i="8"/>
  <c r="J127" i="8"/>
  <c r="I127" i="8"/>
  <c r="J122" i="8"/>
  <c r="I122" i="8"/>
  <c r="J115" i="8"/>
  <c r="I115" i="8"/>
  <c r="J100" i="8"/>
  <c r="I100" i="8"/>
  <c r="J164" i="8"/>
  <c r="I164" i="8"/>
  <c r="I157" i="8"/>
  <c r="J157" i="8"/>
  <c r="I150" i="8"/>
  <c r="J150" i="8"/>
  <c r="J143" i="8"/>
  <c r="I143" i="8"/>
  <c r="J130" i="8"/>
  <c r="I130" i="8"/>
  <c r="J108" i="8"/>
  <c r="I108" i="8"/>
  <c r="I101" i="8"/>
  <c r="J101" i="8"/>
  <c r="I165" i="8"/>
  <c r="J165" i="8"/>
  <c r="I158" i="8"/>
  <c r="J158" i="8"/>
  <c r="J151" i="8"/>
  <c r="I151" i="8"/>
  <c r="J116" i="8"/>
  <c r="I116" i="8"/>
  <c r="J159" i="8"/>
  <c r="I159" i="8"/>
  <c r="J114" i="8"/>
  <c r="I114" i="8"/>
  <c r="I142" i="8"/>
  <c r="J142" i="8"/>
  <c r="J129" i="8"/>
  <c r="I129" i="8"/>
  <c r="J137" i="8"/>
  <c r="I137" i="8"/>
  <c r="J145" i="8"/>
  <c r="I145" i="8"/>
  <c r="J131" i="8"/>
  <c r="I131" i="8"/>
  <c r="I109" i="8"/>
  <c r="J109" i="8"/>
  <c r="J96" i="8"/>
  <c r="I96" i="8"/>
  <c r="J160" i="8"/>
  <c r="I160" i="8"/>
  <c r="J153" i="8"/>
  <c r="I153" i="8"/>
  <c r="J146" i="8"/>
  <c r="I146" i="8"/>
  <c r="J139" i="8"/>
  <c r="I139" i="8"/>
  <c r="J124" i="8"/>
  <c r="I124" i="8"/>
  <c r="I117" i="8"/>
  <c r="J117" i="8"/>
  <c r="I110" i="8"/>
  <c r="J110" i="8"/>
  <c r="J103" i="8"/>
  <c r="I103" i="8"/>
  <c r="J167" i="8"/>
  <c r="I167" i="8"/>
  <c r="J121" i="8"/>
  <c r="I121" i="8"/>
  <c r="J156" i="8"/>
  <c r="I156" i="8"/>
  <c r="I149" i="8"/>
  <c r="J149" i="8"/>
  <c r="J123" i="8"/>
  <c r="I123" i="8"/>
  <c r="J152" i="8"/>
  <c r="I152" i="8"/>
  <c r="I166" i="8"/>
  <c r="J166" i="8"/>
  <c r="J104" i="8"/>
  <c r="I104" i="8"/>
  <c r="J97" i="8"/>
  <c r="I97" i="8"/>
  <c r="J161" i="8"/>
  <c r="I161" i="8"/>
  <c r="J154" i="8"/>
  <c r="I154" i="8"/>
  <c r="J147" i="8"/>
  <c r="I147" i="8"/>
  <c r="J132" i="8"/>
  <c r="I132" i="8"/>
  <c r="I125" i="8"/>
  <c r="J125" i="8"/>
  <c r="I118" i="8"/>
  <c r="J118" i="8"/>
  <c r="J111" i="8"/>
  <c r="I111" i="8"/>
  <c r="J95" i="8"/>
  <c r="I95" i="8"/>
  <c r="J128" i="8"/>
  <c r="I128" i="8"/>
  <c r="J107" i="8"/>
  <c r="I107" i="8"/>
  <c r="J135" i="8"/>
  <c r="I135" i="8"/>
  <c r="J136" i="8"/>
  <c r="I136" i="8"/>
  <c r="J144" i="8"/>
  <c r="I144" i="8"/>
  <c r="J138" i="8"/>
  <c r="I138" i="8"/>
  <c r="I102" i="8"/>
  <c r="J102" i="8"/>
  <c r="J112" i="8"/>
  <c r="I112" i="8"/>
  <c r="J105" i="8"/>
  <c r="I105" i="8"/>
  <c r="J98" i="8"/>
  <c r="I98" i="8"/>
  <c r="J162" i="8"/>
  <c r="I162" i="8"/>
  <c r="J155" i="8"/>
  <c r="I155" i="8"/>
  <c r="J140" i="8"/>
  <c r="I140" i="8"/>
  <c r="I133" i="8"/>
  <c r="J133" i="8"/>
  <c r="I126" i="8"/>
  <c r="J126" i="8"/>
  <c r="J119" i="8"/>
  <c r="I119" i="8"/>
  <c r="I63" i="8"/>
  <c r="I41" i="8"/>
  <c r="J41" i="8"/>
  <c r="I27" i="8"/>
  <c r="J27" i="8"/>
  <c r="I70" i="8"/>
  <c r="J70" i="8"/>
  <c r="I24" i="8"/>
  <c r="J24" i="8"/>
  <c r="I40" i="8"/>
  <c r="J40" i="8"/>
  <c r="I35" i="8"/>
  <c r="J35" i="8"/>
  <c r="I78" i="8"/>
  <c r="J78" i="8"/>
  <c r="I31" i="8"/>
  <c r="J31" i="8"/>
  <c r="I48" i="8"/>
  <c r="J48" i="8"/>
  <c r="I22" i="8"/>
  <c r="J22" i="8"/>
  <c r="I56" i="8"/>
  <c r="J56" i="8"/>
  <c r="I16" i="8"/>
  <c r="J16" i="8"/>
  <c r="I19" i="8"/>
  <c r="J19" i="8"/>
  <c r="I76" i="8"/>
  <c r="J76" i="8"/>
  <c r="I62" i="8"/>
  <c r="J62" i="8"/>
  <c r="I34" i="8"/>
  <c r="J34" i="8"/>
  <c r="I20" i="8"/>
  <c r="J20" i="8"/>
  <c r="I42" i="8"/>
  <c r="J42" i="8"/>
  <c r="I14" i="8"/>
  <c r="J14" i="8"/>
  <c r="I43" i="8"/>
  <c r="J43" i="8"/>
  <c r="I39" i="8"/>
  <c r="J39" i="8"/>
  <c r="I73" i="8"/>
  <c r="J73" i="8"/>
  <c r="I37" i="8"/>
  <c r="J37" i="8"/>
  <c r="I17" i="8"/>
  <c r="J17" i="8"/>
  <c r="I9" i="8"/>
  <c r="J9" i="8"/>
  <c r="I66" i="8"/>
  <c r="J66" i="8"/>
  <c r="I59" i="8"/>
  <c r="J59" i="8"/>
  <c r="I52" i="8"/>
  <c r="J52" i="8"/>
  <c r="I45" i="8"/>
  <c r="J45" i="8"/>
  <c r="I38" i="8"/>
  <c r="J38" i="8"/>
  <c r="I55" i="8"/>
  <c r="J55" i="8"/>
  <c r="I32" i="8"/>
  <c r="J32" i="8"/>
  <c r="I12" i="8"/>
  <c r="J12" i="8"/>
  <c r="I69" i="8"/>
  <c r="J69" i="8"/>
  <c r="I77" i="8"/>
  <c r="J77" i="8"/>
  <c r="I28" i="8"/>
  <c r="J28" i="8"/>
  <c r="I65" i="8"/>
  <c r="J65" i="8"/>
  <c r="I36" i="8"/>
  <c r="J36" i="8"/>
  <c r="I58" i="8"/>
  <c r="J58" i="8"/>
  <c r="I47" i="8"/>
  <c r="J47" i="8"/>
  <c r="I25" i="8"/>
  <c r="J25" i="8"/>
  <c r="I10" i="8"/>
  <c r="J10" i="8"/>
  <c r="I74" i="8"/>
  <c r="J74" i="8"/>
  <c r="I67" i="8"/>
  <c r="J67" i="8"/>
  <c r="I60" i="8"/>
  <c r="J60" i="8"/>
  <c r="I53" i="8"/>
  <c r="J53" i="8"/>
  <c r="I46" i="8"/>
  <c r="J46" i="8"/>
  <c r="I64" i="8"/>
  <c r="J64" i="8"/>
  <c r="I80" i="8"/>
  <c r="J80" i="8"/>
  <c r="I49" i="8"/>
  <c r="J49" i="8"/>
  <c r="I13" i="8"/>
  <c r="J13" i="8"/>
  <c r="I57" i="8"/>
  <c r="J57" i="8"/>
  <c r="I21" i="8"/>
  <c r="J21" i="8"/>
  <c r="I50" i="8"/>
  <c r="J50" i="8"/>
  <c r="I29" i="8"/>
  <c r="J29" i="8"/>
  <c r="I51" i="8"/>
  <c r="J51" i="8"/>
  <c r="I44" i="8"/>
  <c r="J44" i="8"/>
  <c r="I30" i="8"/>
  <c r="J30" i="8"/>
  <c r="I72" i="8"/>
  <c r="J72" i="8"/>
  <c r="I33" i="8"/>
  <c r="J33" i="8"/>
  <c r="I18" i="8"/>
  <c r="J18" i="8"/>
  <c r="I11" i="8"/>
  <c r="J11" i="8"/>
  <c r="I75" i="8"/>
  <c r="J75" i="8"/>
  <c r="I68" i="8"/>
  <c r="J68" i="8"/>
  <c r="I61" i="8"/>
  <c r="J61" i="8"/>
  <c r="I54" i="8"/>
  <c r="J54" i="8"/>
  <c r="I71" i="8"/>
  <c r="J71" i="8"/>
  <c r="I8" i="8"/>
  <c r="K16" i="6"/>
  <c r="A7" i="6"/>
  <c r="K9" i="6"/>
  <c r="K15" i="6"/>
  <c r="K12" i="6"/>
  <c r="K14" i="6"/>
  <c r="K11" i="6"/>
  <c r="K13" i="6"/>
  <c r="K10" i="6"/>
  <c r="D79" i="4"/>
  <c r="D8" i="10" l="1"/>
  <c r="B8" i="10"/>
  <c r="L184" i="8"/>
  <c r="J63" i="8"/>
  <c r="L95" i="8"/>
  <c r="I79" i="8"/>
  <c r="J79" i="8"/>
  <c r="I23" i="8"/>
  <c r="J23" i="8"/>
  <c r="J8" i="8"/>
  <c r="I15" i="8"/>
  <c r="J15" i="8"/>
  <c r="G7" i="6"/>
  <c r="E9" i="4"/>
  <c r="D7" i="6"/>
  <c r="E4" i="4"/>
  <c r="E59" i="4"/>
  <c r="G5" i="4"/>
  <c r="G12" i="4"/>
  <c r="G20" i="4"/>
  <c r="G28" i="4"/>
  <c r="G36" i="4"/>
  <c r="G44" i="4"/>
  <c r="G52" i="4"/>
  <c r="G60" i="4"/>
  <c r="G68" i="4"/>
  <c r="G76" i="4"/>
  <c r="G7" i="4"/>
  <c r="G15" i="4"/>
  <c r="G23" i="4"/>
  <c r="G31" i="4"/>
  <c r="G39" i="4"/>
  <c r="G55" i="4"/>
  <c r="G63" i="4"/>
  <c r="G71" i="4"/>
  <c r="G16" i="4"/>
  <c r="G24" i="4"/>
  <c r="G32" i="4"/>
  <c r="G48" i="4"/>
  <c r="G64" i="4"/>
  <c r="G9" i="4"/>
  <c r="G25" i="4"/>
  <c r="G41" i="4"/>
  <c r="G57" i="4"/>
  <c r="G10" i="4"/>
  <c r="G26" i="4"/>
  <c r="G42" i="4"/>
  <c r="G58" i="4"/>
  <c r="G74" i="4"/>
  <c r="G13" i="4"/>
  <c r="G21" i="4"/>
  <c r="G29" i="4"/>
  <c r="G37" i="4"/>
  <c r="G45" i="4"/>
  <c r="G53" i="4"/>
  <c r="G61" i="4"/>
  <c r="G69" i="4"/>
  <c r="G6" i="4"/>
  <c r="G14" i="4"/>
  <c r="H6" i="9" s="1"/>
  <c r="G22" i="4"/>
  <c r="G30" i="4"/>
  <c r="G38" i="4"/>
  <c r="G46" i="4"/>
  <c r="G54" i="4"/>
  <c r="G62" i="4"/>
  <c r="G70" i="4"/>
  <c r="G11" i="4"/>
  <c r="G19" i="4"/>
  <c r="G27" i="4"/>
  <c r="H8" i="9" s="1"/>
  <c r="G35" i="4"/>
  <c r="H7" i="9" s="1"/>
  <c r="G43" i="4"/>
  <c r="G51" i="4"/>
  <c r="G59" i="4"/>
  <c r="G67" i="4"/>
  <c r="G75" i="4"/>
  <c r="G47" i="4"/>
  <c r="G8" i="4"/>
  <c r="G40" i="4"/>
  <c r="G56" i="4"/>
  <c r="G72" i="4"/>
  <c r="G17" i="4"/>
  <c r="G33" i="4"/>
  <c r="G49" i="4"/>
  <c r="G65" i="4"/>
  <c r="G73" i="4"/>
  <c r="G18" i="4"/>
  <c r="G34" i="4"/>
  <c r="G50" i="4"/>
  <c r="G66" i="4"/>
  <c r="G4" i="4"/>
  <c r="E10" i="4"/>
  <c r="E6" i="4"/>
  <c r="E67" i="4"/>
  <c r="E62" i="4"/>
  <c r="E5" i="4"/>
  <c r="E7" i="4"/>
  <c r="E13" i="4"/>
  <c r="E39" i="4"/>
  <c r="E61" i="4"/>
  <c r="E36" i="4"/>
  <c r="E70" i="4"/>
  <c r="E76" i="4"/>
  <c r="E48" i="4"/>
  <c r="E54" i="4"/>
  <c r="E72" i="4"/>
  <c r="E15" i="4"/>
  <c r="E17" i="4"/>
  <c r="E31" i="4"/>
  <c r="E49" i="4"/>
  <c r="E12" i="4"/>
  <c r="E27" i="4"/>
  <c r="E41" i="4"/>
  <c r="E51" i="4"/>
  <c r="E57" i="4"/>
  <c r="E21" i="4"/>
  <c r="E71" i="4"/>
  <c r="E25" i="4"/>
  <c r="E33" i="4"/>
  <c r="E20" i="4"/>
  <c r="E69" i="4"/>
  <c r="E28" i="4"/>
  <c r="E65" i="4"/>
  <c r="E38" i="4"/>
  <c r="E75" i="4"/>
  <c r="E26" i="4"/>
  <c r="E44" i="4"/>
  <c r="E34" i="4"/>
  <c r="E23" i="4"/>
  <c r="E14" i="4"/>
  <c r="E8" i="4"/>
  <c r="E58" i="4"/>
  <c r="E18" i="4"/>
  <c r="E40" i="4"/>
  <c r="E45" i="4"/>
  <c r="E42" i="4"/>
  <c r="E30" i="4"/>
  <c r="E64" i="4"/>
  <c r="E35" i="4"/>
  <c r="E50" i="4"/>
  <c r="E55" i="4"/>
  <c r="E29" i="4"/>
  <c r="E73" i="4"/>
  <c r="E74" i="4"/>
  <c r="E52" i="4"/>
  <c r="E24" i="4"/>
  <c r="E37" i="4"/>
  <c r="E47" i="4"/>
  <c r="E22" i="4"/>
  <c r="E11" i="4"/>
  <c r="E60" i="4"/>
  <c r="E32" i="4"/>
  <c r="E19" i="4"/>
  <c r="E63" i="4"/>
  <c r="E68" i="4"/>
  <c r="E56" i="4"/>
  <c r="E43" i="4"/>
  <c r="E53" i="4"/>
  <c r="E16" i="4"/>
  <c r="E66" i="4"/>
  <c r="E46" i="4"/>
  <c r="B20" i="6" l="1" a="1"/>
  <c r="S7" i="6" s="1" a="1"/>
  <c r="S7" i="6" s="1"/>
  <c r="L8" i="8"/>
  <c r="J6" i="4"/>
  <c r="J7" i="4"/>
  <c r="N7" i="6"/>
  <c r="N8" i="6"/>
  <c r="N6" i="6"/>
  <c r="O8" i="4" a="1"/>
  <c r="O8" i="4" s="1"/>
  <c r="J5" i="4"/>
  <c r="U9" i="6" l="1" a="1"/>
  <c r="U9" i="6" s="1"/>
  <c r="T8" i="6" a="1"/>
  <c r="T8" i="6" s="1"/>
  <c r="S13" i="6" a="1"/>
  <c r="S13" i="6" s="1"/>
  <c r="T11" i="6" a="1"/>
  <c r="T11" i="6" s="1"/>
  <c r="U12" i="6" a="1"/>
  <c r="U12" i="6" s="1"/>
  <c r="T13" i="6" a="1"/>
  <c r="T13" i="6" s="1"/>
  <c r="U8" i="6" a="1"/>
  <c r="U8" i="6" s="1"/>
  <c r="S15" i="6" a="1"/>
  <c r="S15" i="6" s="1"/>
  <c r="T10" i="6" a="1"/>
  <c r="T10" i="6" s="1"/>
  <c r="S14" i="6" a="1"/>
  <c r="S14" i="6" s="1"/>
  <c r="T7" i="6" a="1"/>
  <c r="T7" i="6" s="1"/>
  <c r="U13" i="6" a="1"/>
  <c r="U13" i="6" s="1"/>
  <c r="S9" i="6" a="1"/>
  <c r="S9" i="6" s="1"/>
  <c r="S11" i="6" a="1"/>
  <c r="S11" i="6" s="1"/>
  <c r="S8" i="6" a="1"/>
  <c r="S8" i="6" s="1"/>
  <c r="U7" i="6" a="1"/>
  <c r="U7" i="6" s="1"/>
  <c r="B20" i="6"/>
  <c r="U10" i="6" a="1"/>
  <c r="U10" i="6" s="1"/>
  <c r="S10" i="6" a="1"/>
  <c r="S10" i="6" s="1"/>
  <c r="U15" i="6" a="1"/>
  <c r="U15" i="6" s="1"/>
  <c r="T12" i="6" a="1"/>
  <c r="T12" i="6" s="1"/>
  <c r="T9" i="6" a="1"/>
  <c r="T9" i="6" s="1"/>
  <c r="S12" i="6" a="1"/>
  <c r="S12" i="6" s="1"/>
  <c r="T15" i="6" a="1"/>
  <c r="T15" i="6" s="1"/>
  <c r="T14" i="6" a="1"/>
  <c r="T14" i="6" s="1"/>
  <c r="U14" i="6" a="1"/>
  <c r="U14" i="6" s="1"/>
  <c r="U11" i="6" a="1"/>
  <c r="U11" i="6" s="1"/>
  <c r="S6" i="6" a="1"/>
  <c r="S6" i="6" s="1"/>
  <c r="T6" i="6" a="1"/>
  <c r="T6" i="6" s="1"/>
  <c r="U6" i="6" a="1"/>
  <c r="U6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C88364-88A5-9142-8FD8-C7ED8BEA5110}" keepAlive="1" name="Consulta - PQ_Exportaciones2023" description="Conexión a la consulta 'PQ_Exportaciones2023' en el libro." type="5" refreshedVersion="8" background="1" saveData="1">
    <dbPr connection="Provider=Microsoft.Mashup.OleDb.1;Data Source=$Workbook$;Location=PQ_Exportaciones2023;Extended Properties=&quot;&quot;" command="SELECT * FROM [PQ_Exportaciones2023]"/>
  </connection>
  <connection id="2" xr16:uid="{684070A9-AE14-7045-89F1-E40E70EB61B8}" keepAlive="1" name="Consulta - PQ_ProductoPais" description="Conexión a la consulta 'PQ_ProductoPais' en el libro." type="5" refreshedVersion="8" background="1" saveData="1">
    <dbPr connection="Provider=Microsoft.Mashup.OleDb.1;Data Source=$Workbook$;Location=PQ_ProductoPais;Extended Properties=&quot;&quot;" command="SELECT * FROM [PQ_ProductoPais]"/>
  </connection>
  <connection id="3" xr16:uid="{53184FAE-1C35-9E4D-BF88-DA1512A6D618}" keepAlive="1" name="Consulta - PQ_ProductoPais (2)" description="Conexión a la consulta 'PQ_ProductoPais (2)' en el libro." type="5" refreshedVersion="8" background="1" saveData="1">
    <dbPr connection="Provider=Microsoft.Mashup.OleDb.1;Data Source=$Workbook$;Location=&quot;PQ_ProductoPais (2)&quot;;Extended Properties=&quot;&quot;" command="SELECT * FROM [PQ_ProductoPai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<sst xmlns="http://schemas.openxmlformats.org/spreadsheetml/2006/main" count="1708" uniqueCount="268">
  <si>
    <t>Base de datos de exportaciones (2023)</t>
  </si>
  <si>
    <t>Tabla con 150 registros generados para simulación profesional del proyecto.</t>
  </si>
  <si>
    <t>Fecha</t>
  </si>
  <si>
    <t>Producto</t>
  </si>
  <si>
    <t>País</t>
  </si>
  <si>
    <t>Unidades</t>
  </si>
  <si>
    <t>Precio Unitario</t>
  </si>
  <si>
    <t>Cerveza</t>
  </si>
  <si>
    <t>Italia</t>
  </si>
  <si>
    <t>Miel</t>
  </si>
  <si>
    <t>Alemania</t>
  </si>
  <si>
    <t>Reino Unido</t>
  </si>
  <si>
    <t>Aceite</t>
  </si>
  <si>
    <t>España</t>
  </si>
  <si>
    <t>Japón</t>
  </si>
  <si>
    <t>Jabón</t>
  </si>
  <si>
    <t>Francia</t>
  </si>
  <si>
    <t>Cerámica</t>
  </si>
  <si>
    <t>China</t>
  </si>
  <si>
    <t>México</t>
  </si>
  <si>
    <t>EE.UU.</t>
  </si>
  <si>
    <t>Portugal</t>
  </si>
  <si>
    <t>Queso</t>
  </si>
  <si>
    <t>Vino</t>
  </si>
  <si>
    <t>Chocolate</t>
  </si>
  <si>
    <t>06-Apr-2023</t>
  </si>
  <si>
    <t>17-May-2023</t>
  </si>
  <si>
    <t>20-Mar-2023</t>
  </si>
  <si>
    <t>12-Sep-2023</t>
  </si>
  <si>
    <t>28-Jun-2023</t>
  </si>
  <si>
    <t>11-Jan-2023</t>
  </si>
  <si>
    <t>31-Jul-2023</t>
  </si>
  <si>
    <t>12-Dec-2023</t>
  </si>
  <si>
    <t>09-Nov-2023</t>
  </si>
  <si>
    <t>13-Feb-2023</t>
  </si>
  <si>
    <t>06-Aug-2023</t>
  </si>
  <si>
    <t>08-Mar-2023</t>
  </si>
  <si>
    <t>02-Jan-2023</t>
  </si>
  <si>
    <t>16-Feb-2023</t>
  </si>
  <si>
    <t>11-Oct-2023</t>
  </si>
  <si>
    <t>22-Feb-2023</t>
  </si>
  <si>
    <t>29-Jan-2023</t>
  </si>
  <si>
    <t>19-Jun-2023</t>
  </si>
  <si>
    <t>03-Oct-2023</t>
  </si>
  <si>
    <t>15-Dec-2023</t>
  </si>
  <si>
    <t>29-Nov-2023</t>
  </si>
  <si>
    <t>26-May-2023</t>
  </si>
  <si>
    <t>20-Jan-2023</t>
  </si>
  <si>
    <t>28-Feb-2023</t>
  </si>
  <si>
    <t>21-Apr-2023</t>
  </si>
  <si>
    <t>05-Sep-2023</t>
  </si>
  <si>
    <t>05-Jul-2023</t>
  </si>
  <si>
    <t>21-Jul-2023</t>
  </si>
  <si>
    <t>08-Jun-2023</t>
  </si>
  <si>
    <t>21-May-2023</t>
  </si>
  <si>
    <t>16-Jun-2023</t>
  </si>
  <si>
    <t>13-Nov-2023</t>
  </si>
  <si>
    <t>13-Apr-2023</t>
  </si>
  <si>
    <t>17-Oct-2023</t>
  </si>
  <si>
    <t>14-Jul-2023</t>
  </si>
  <si>
    <t>28-Jul-2023</t>
  </si>
  <si>
    <t>05-Dec-2023</t>
  </si>
  <si>
    <t>04-Dec-2023</t>
  </si>
  <si>
    <t>15-Jun-2023</t>
  </si>
  <si>
    <t>18-Feb-2023</t>
  </si>
  <si>
    <t>05-May-2023</t>
  </si>
  <si>
    <t>03-Jan-2023</t>
  </si>
  <si>
    <t>06-Oct-2023</t>
  </si>
  <si>
    <t>01-Oct-2023</t>
  </si>
  <si>
    <t>06-Jun-2023</t>
  </si>
  <si>
    <t>18-Apr-2023</t>
  </si>
  <si>
    <t>20-Nov-2023</t>
  </si>
  <si>
    <t>02-Sep-2023</t>
  </si>
  <si>
    <t>30-Aug-2023</t>
  </si>
  <si>
    <t>27-Jan-2023</t>
  </si>
  <si>
    <t>21-Jan-2023</t>
  </si>
  <si>
    <t>28-May-2023</t>
  </si>
  <si>
    <t>21-Sep-2023</t>
  </si>
  <si>
    <t>09-Oct-2023</t>
  </si>
  <si>
    <t>04-May-2023</t>
  </si>
  <si>
    <t>14-Sep-2023</t>
  </si>
  <si>
    <t>22-Jul-2023</t>
  </si>
  <si>
    <t>18-Oct-2023</t>
  </si>
  <si>
    <t>11-Mar-2023</t>
  </si>
  <si>
    <t>01-Apr-2023</t>
  </si>
  <si>
    <t>19-Oct-2023</t>
  </si>
  <si>
    <t>31-Dec-2023</t>
  </si>
  <si>
    <t>27-Mar-2023</t>
  </si>
  <si>
    <t>23-Dec-2023</t>
  </si>
  <si>
    <t>26-Jun-2023</t>
  </si>
  <si>
    <t>26-Jul-2023</t>
  </si>
  <si>
    <t>09-Dec-2023</t>
  </si>
  <si>
    <t>03-Jul-2023</t>
  </si>
  <si>
    <t>19-May-2023</t>
  </si>
  <si>
    <t>17-Apr-2023</t>
  </si>
  <si>
    <t>23-Mar-2023</t>
  </si>
  <si>
    <t>19-Sep-2023</t>
  </si>
  <si>
    <t>02-Jun-2023</t>
  </si>
  <si>
    <t>06-Mar-2023</t>
  </si>
  <si>
    <t>13-Jun-2023</t>
  </si>
  <si>
    <t>22-Aug-2023</t>
  </si>
  <si>
    <t>10-Mar-2023</t>
  </si>
  <si>
    <t>10-Sep-2023</t>
  </si>
  <si>
    <t>24-Feb-2023</t>
  </si>
  <si>
    <t>27-Nov-2023</t>
  </si>
  <si>
    <t>29-Jul-2023</t>
  </si>
  <si>
    <t>28-Dec-2023</t>
  </si>
  <si>
    <t>24-May-2023</t>
  </si>
  <si>
    <t>27-Jul-2023</t>
  </si>
  <si>
    <t>27-Aug-2023</t>
  </si>
  <si>
    <t>29-Dec-2023</t>
  </si>
  <si>
    <t>06-Sep-2023</t>
  </si>
  <si>
    <t>15-Mar-2023</t>
  </si>
  <si>
    <t>26-Mar-2023</t>
  </si>
  <si>
    <t>31-Mar-2023</t>
  </si>
  <si>
    <t>11-Nov-2023</t>
  </si>
  <si>
    <t>28-Aug-2023</t>
  </si>
  <si>
    <t>14-Feb-2023</t>
  </si>
  <si>
    <t>20-Feb-2023</t>
  </si>
  <si>
    <t>17-Dec-2023</t>
  </si>
  <si>
    <t>25-Jul-2023</t>
  </si>
  <si>
    <t>08-Sep-2023</t>
  </si>
  <si>
    <t>28-Oct-2023</t>
  </si>
  <si>
    <t>17-Jul-2023</t>
  </si>
  <si>
    <t>14-Apr-2023</t>
  </si>
  <si>
    <t>18-Aug-2023</t>
  </si>
  <si>
    <t>02-Apr-2023</t>
  </si>
  <si>
    <t>24-Mar-2023</t>
  </si>
  <si>
    <t>23-Sep-2023</t>
  </si>
  <si>
    <t>10-Dec-2023</t>
  </si>
  <si>
    <t>10-May-2023</t>
  </si>
  <si>
    <t>26-Dec-2023</t>
  </si>
  <si>
    <t>23-Jun-2023</t>
  </si>
  <si>
    <t>07-Jan-2023</t>
  </si>
  <si>
    <t>20-Jun-2023</t>
  </si>
  <si>
    <t>21-Aug-2023</t>
  </si>
  <si>
    <t>07-Dec-2023</t>
  </si>
  <si>
    <t>28-Nov-2023</t>
  </si>
  <si>
    <t>22-Nov-2023</t>
  </si>
  <si>
    <t>21-Feb-2023</t>
  </si>
  <si>
    <t>14-Mar-2023</t>
  </si>
  <si>
    <t>15-May-2023</t>
  </si>
  <si>
    <t>27-Sep-2023</t>
  </si>
  <si>
    <t>24-Nov-2023</t>
  </si>
  <si>
    <t>17-Sep-2023</t>
  </si>
  <si>
    <t>08-Dec-2023</t>
  </si>
  <si>
    <t>11-Apr-2023</t>
  </si>
  <si>
    <t>Resumen de exportaciones por producto y país</t>
  </si>
  <si>
    <t>Total (€)</t>
  </si>
  <si>
    <t>Promedio (€)</t>
  </si>
  <si>
    <t>Etiqueta</t>
  </si>
  <si>
    <t>Producto - País</t>
  </si>
  <si>
    <t>Promedio Global</t>
  </si>
  <si>
    <t>Clasificación Rentabilidad</t>
  </si>
  <si>
    <t>Resumen por rentabilidad</t>
  </si>
  <si>
    <t>Alta</t>
  </si>
  <si>
    <t>Baja</t>
  </si>
  <si>
    <t>Cantidad</t>
  </si>
  <si>
    <t>Producto seleccionado</t>
  </si>
  <si>
    <t>Rentabilidad</t>
  </si>
  <si>
    <t>Rentabilidad según Producto y País</t>
  </si>
  <si>
    <t>(click en N5 para seleccionar)</t>
  </si>
  <si>
    <t>Análisis por producto, país y rentabilidad</t>
  </si>
  <si>
    <t>Total exportaciones (€)</t>
  </si>
  <si>
    <t>Producto más exportado</t>
  </si>
  <si>
    <t>Promedio de rentabilidad (€)</t>
  </si>
  <si>
    <t>Total exportado (€)</t>
  </si>
  <si>
    <t>Tabla auxiliar – Total exportado por producto</t>
  </si>
  <si>
    <t>Resumen de rentabilidad por país – Producto seleccionado</t>
  </si>
  <si>
    <t>Media</t>
  </si>
  <si>
    <t xml:space="preserve">Cantidad </t>
  </si>
  <si>
    <t>Resumen visual de Exportaciones y Rentabilidad – Año 2023</t>
  </si>
  <si>
    <t>Unidades pedidas</t>
  </si>
  <si>
    <t>Precio unitario (€)</t>
  </si>
  <si>
    <t>Coste unitario (€)</t>
  </si>
  <si>
    <t>Beneficio unitario (€)</t>
  </si>
  <si>
    <t>Beneficio total (€)</t>
  </si>
  <si>
    <t>Unidades a exportar</t>
  </si>
  <si>
    <t>Beneficio real (€)</t>
  </si>
  <si>
    <t>Beneficio total optimizado (€)</t>
  </si>
  <si>
    <t>Total exportado por producto (según solver)</t>
  </si>
  <si>
    <t>Máximo permitido</t>
  </si>
  <si>
    <t>% de aprovechamiento</t>
  </si>
  <si>
    <t>Resumen de capacidad utilizada por producto – Optimización con Solver</t>
  </si>
  <si>
    <t>Se han calculado los precios unitarios promedios y los beneficios estimados para cada combinación, utilizando criterios empresariales reales.</t>
  </si>
  <si>
    <t>Esta tabla servirá como base para la optimización con Solver, donde se aplicarán restricciones logísticas para maximizar el beneficio total.</t>
  </si>
  <si>
    <t>Cantidad máxima</t>
  </si>
  <si>
    <t>En este escenario alternativo se mantiene la estructura de productos y países, pero se modifican las siguientes variables:</t>
  </si>
  <si>
    <t xml:space="preserve">  - Las unidades pedidas reflejan una demanda reducida y no homogénea entre países.</t>
  </si>
  <si>
    <t xml:space="preserve">  - Las cantidades máximas han sido restringidas fuertemente para simular limitaciones de transporte o producción.</t>
  </si>
  <si>
    <t xml:space="preserve">  - Se mantiene el mismo precio y coste unitario por combinación.</t>
  </si>
  <si>
    <t>El modelo optimizado con Solver tendrá que decidir qué exportar, a qué países, y en qué cantidades para maximizar el beneficio total con</t>
  </si>
  <si>
    <t>recursos limitados.</t>
  </si>
  <si>
    <t>Este escenario simula una situación ideal en la que todas las exportaciones solicitadas por los países pueden ser atendidas sin ningún tipo de restricción</t>
  </si>
  <si>
    <t>logística, de capacidad o priorización. La solución de Solver consiste en exportar exactamente las unidades pedidas en cada combinación Producto–País.</t>
  </si>
  <si>
    <t>Como consecuencia, el modelo consigue satisfacer toda la demanda prevista y maximizar el beneficio total sin necesidad de renunciar a ningún envío ni</t>
  </si>
  <si>
    <t>priorizar rutas. El gráfico de aprovechamiento refleja que ningún producto ha alcanzado su límite de capacidad: todos los porcentajes están por debajo</t>
  </si>
  <si>
    <t>del 100 %, confirmando que las restricciones no han condicionado la asignación.</t>
  </si>
  <si>
    <t>Este escenario es útil como caso de referencia óptimo, ya que permite observar el comportamiento del modelo en ausencia de limitaciones. Servirá como</t>
  </si>
  <si>
    <t xml:space="preserve">base de comparación frente a escenarios más exigentes con restricciones reales, en los que sí habrá que renunciar y priorizar ciertas exportaciones para </t>
  </si>
  <si>
    <t>analizar qué decisiones estratégicas maximizan la rentabilidad cuando los recursos disponibles son limitados.</t>
  </si>
  <si>
    <t xml:space="preserve">Conclusión – Escenario 1: Sin restricciones </t>
  </si>
  <si>
    <t>1. Escenario base para optimización logística con Solver (Sin restricciones)</t>
  </si>
  <si>
    <t>Este segundo escenario plantea un modelo con restricciones específicas por combinación Producto–País, donde cada exportación tiene un límite</t>
  </si>
  <si>
    <t>máximo definido. El objetivo sigue siendo maximizar el beneficio total respetando estas limitaciones.</t>
  </si>
  <si>
    <t>El resultado final muestra un aprovechamiento del 100 % para todos los productos, lo que indica que las cantidades exportadas coinciden exactamente</t>
  </si>
  <si>
    <t xml:space="preserve">con los máximos permitidos en cada caso. A pesar de aplicar restricciones individualizadas, el modelo ha logrado cumplir toda la demanda sin sacrificar </t>
  </si>
  <si>
    <t>ninguna combinación.</t>
  </si>
  <si>
    <t>Este desenlace, aunque óptimo en términos de beneficio y cumplimiento, no refleja necesariamente un escenario realista desde el punto de vista</t>
  </si>
  <si>
    <t xml:space="preserve">logístico o económico. En la práctica, factores como limitaciones de transporte, costes crecientes o prioridades estratégicas dificultan una asignación </t>
  </si>
  <si>
    <t xml:space="preserve">tan perfecta. Por eso, en el tercer escenario se diseñará un modelo más exigente, donde algunas combinaciones deberán sacrificarse para priorizar </t>
  </si>
  <si>
    <t>las más rentables.</t>
  </si>
  <si>
    <t>2. Escenario alternativo para optimización logística – Restricciones en la cantidad máxima</t>
  </si>
  <si>
    <t>3. Escenario alternativo para optimización logística – Rentabilidades ajustadas</t>
  </si>
  <si>
    <t xml:space="preserve">En este escenario se parte de la misma estructura de productos y países, pero se han introducido modificaciones relevantes para simular </t>
  </si>
  <si>
    <t>un entorno económico más complejo y competitivo:</t>
  </si>
  <si>
    <t xml:space="preserve"> - Se han ajustado los precios y costes unitarios de forma estratégica para que no todas las combinaciones sean rentables.</t>
  </si>
  <si>
    <t xml:space="preserve"> - Las unidades pedidas se han rediseñado para representar demandas más realistas, diversas y a veces inviables.</t>
  </si>
  <si>
    <t xml:space="preserve"> - Las cantidades máximas se han mantenido limitadas, pero no son el único factor que condiciona la decisión.</t>
  </si>
  <si>
    <t>El modelo está diseñado para obligar a Solver a descartar aquellas exportaciones que no aportan beneficio suficiente, priorizando combinaciones</t>
  </si>
  <si>
    <t xml:space="preserve"> realmente rentables. Así, se reproduce una situación habitual en el comercio internacional: recursos limitados, muchos destinos posibles </t>
  </si>
  <si>
    <t>y necesidad de tomar decisiones estratégicas</t>
  </si>
  <si>
    <t>Conclusión – Escenario 2: Restricciones en la cantidad máxima</t>
  </si>
  <si>
    <t>Conclusión – Escenario 3: Rentabilidades ajustadas</t>
  </si>
  <si>
    <t>Este tercer escenario presenta un modelo donde las restricciones logísticas no son absolutas, pero los parámetros económicos fuerzan una selección natural</t>
  </si>
  <si>
    <t>de exportaciones. Al modificar precios, costes y demandas, se generan combinaciones poco rentables que el optimizador descarta de forma inteligente.</t>
  </si>
  <si>
    <t>El resultado ha sido una optimización más selectiva, donde productos como Chocolate y Queso no han sido exportados (0 % de aprovechamiento), y otros</t>
  </si>
  <si>
    <t>como Cerámica o Jabón han visto su uso limitado. Por el contrario, productos como Miel, Aceite y Vino han sido priorizados, alcanzando altos niveles de</t>
  </si>
  <si>
    <t>aprovechamiento gracias a su mayor rentabilidad.</t>
  </si>
  <si>
    <t>los recursos disponibles.</t>
  </si>
  <si>
    <r>
      <rPr>
        <b/>
        <sz val="11"/>
        <color theme="1"/>
        <rFont val="Segoe UI"/>
      </rPr>
      <t>en datos</t>
    </r>
    <r>
      <rPr>
        <sz val="11"/>
        <color theme="1"/>
        <rFont val="Segoe UI"/>
      </rPr>
      <t xml:space="preserve">. El modelo demuestra así la capacidad de adaptar la estrategia logística a las condiciones económicas cambiantes y priorizar el uso eficiente de </t>
    </r>
  </si>
  <si>
    <t>Esta hoja simula 3 escenarios de exportación diferentes con múltiples combinaciones únicas Producto–País, extraídas de datos históricos.</t>
  </si>
  <si>
    <r>
      <t>Este tipo de enfoque es fundamental en entornos reales donde no se trata solo de cumplir con la demanda, sino de tomar </t>
    </r>
    <r>
      <rPr>
        <b/>
        <sz val="11"/>
        <color theme="1"/>
        <rFont val="Segoe UI"/>
      </rPr>
      <t>decisiones rentables basadas</t>
    </r>
  </si>
  <si>
    <t>Rentabilidad esperada</t>
  </si>
  <si>
    <r>
      <t xml:space="preserve">📦 </t>
    </r>
    <r>
      <rPr>
        <b/>
        <sz val="16"/>
        <color theme="1" tint="0.249977111117893"/>
        <rFont val="Segoe UI"/>
      </rPr>
      <t>CONTROL OPERATIVO DE PEDIDOS – EXPORTACIONES 2023</t>
    </r>
  </si>
  <si>
    <t>Seleccione producto y país, introduzca las unidades pedidas, guarde y revise el cálculo automático de importe y rentabilidad.</t>
  </si>
  <si>
    <t>📊 INFORME EJECUTIVO – ANÁLISIS DE EXPORTACIONES INTERNACIONALES</t>
  </si>
  <si>
    <t>Este informe resume los resultados clave obtenidos tras analizar las exportaciones de productos españoles a distintos países durante el ejercicio 2023.</t>
  </si>
  <si>
    <t>Conclusiones del analista</t>
  </si>
  <si>
    <t xml:space="preserve">   Dashboard de Exportaciones 2023</t>
  </si>
  <si>
    <t>⚠ Producto menos rentable</t>
  </si>
  <si>
    <t>Volumen total (€)</t>
  </si>
  <si>
    <t>🥇 Producto más rentable</t>
  </si>
  <si>
    <t>Beneficio (€)</t>
  </si>
  <si>
    <t xml:space="preserve">🏆 Beneficio más alto individual </t>
  </si>
  <si>
    <t>🌍 País con mayor volumen de exportaciones</t>
  </si>
  <si>
    <t>Total exportado por país  (€)</t>
  </si>
  <si>
    <t>Total Exportado (€)</t>
  </si>
  <si>
    <t>Beneficio promedio unitario (€)</t>
  </si>
  <si>
    <t>Beneficio promedio (€)</t>
  </si>
  <si>
    <t>Análisis de Volumen de Exportación:</t>
  </si>
  <si>
    <t>Rentabilidad por Producto:</t>
  </si>
  <si>
    <t>Distribución de Rentabilidad:</t>
  </si>
  <si>
    <t>Recomendaciones Estratégicas:</t>
  </si>
  <si>
    <t>para el negocio, por lo que se recomienda fortalecer las relaciones comerciales y explorar oportunidades de crecimiento en este mercado prioritario.</t>
  </si>
  <si>
    <t xml:space="preserve">El análisis muestra que el queso es el producto con menor rentabilidad promedio (112,67 €), lo que sugiere la necesidad de revisar costos y estrategias </t>
  </si>
  <si>
    <t>de precio para mejorar su desempeño comercial. En contraste, el vino es el producto más rentable con un beneficio promedio de 171 €, y la miel exportada</t>
  </si>
  <si>
    <t xml:space="preserve">a Italia registra el beneficio individual más alto (247,70 €). Estos productos deben ser el foco principal en la planificación de recursos y promoción para </t>
  </si>
  <si>
    <t>optimizar márgenes.</t>
  </si>
  <si>
    <t xml:space="preserve">Se evidencia una variabilidad significativa en la rentabilidad según la combinación producto-país. Algunos mercados presentan márgenes elevados y </t>
  </si>
  <si>
    <t>sostenidos, mientras que otros requieren atención para reducir costos o ajustar precios. Esta diversidad refuerza la necesidad de implementar estrategias</t>
  </si>
  <si>
    <t>específicas por producto y región.</t>
  </si>
  <si>
    <t xml:space="preserve">     e Italia, para maximizar el retorno y consolidar la ventaja competitiva.</t>
  </si>
  <si>
    <t xml:space="preserve">  -  Optimizar la cadena de suministro y revisar políticas comerciales para los segmentos menos rentables.</t>
  </si>
  <si>
    <t xml:space="preserve">  -  Realizar un análisis detallado de los factores que afectan la rentabilidad baja en ciertos productos y mercados, con énfasis en control de costos y </t>
  </si>
  <si>
    <t xml:space="preserve">  -  Priorizar inversiones y esfuerzos comerciales en productos y mercados con alto volumen y rentabilidad, como vino y miel, especialmente en Francia </t>
  </si>
  <si>
    <t xml:space="preserve">     adaptación a la demanda.</t>
  </si>
  <si>
    <t xml:space="preserve">Francia destaca como el país con mayor volumen de exportaciones en 2023, generando más de 508.000 € en ventas. Esto confirma su relevancia estratégica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</si>
</sst>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#0.00\ &quot;€&quot;"/>
    <numFmt numFmtId="165" formatCode="#,##0\ &quot;€&quot;"/>
    <numFmt numFmtId="166" formatCode="0.0"/>
  </numFmts>
  <fonts count="37" x14ac:knownFonts="1">
    <font>
      <sz val="12"/>
      <color theme="1"/>
      <name val="Aptos Narrow"/>
      <family val="2"/>
      <scheme val="minor"/>
    </font>
    <font>
      <b/>
      <sz val="16"/>
      <color rgb="FF1F4E78"/>
      <name val="Segoe UI"/>
    </font>
    <font>
      <sz val="11"/>
      <color theme="1"/>
      <name val="Segoe UI"/>
    </font>
    <font>
      <i/>
      <sz val="11"/>
      <color rgb="FF666666"/>
      <name val="Segoe UI"/>
    </font>
    <font>
      <b/>
      <sz val="11"/>
      <color theme="1"/>
      <name val="Segoe UI"/>
    </font>
    <font>
      <b/>
      <sz val="12"/>
      <color theme="1"/>
      <name val="Aptos Narrow"/>
      <scheme val="minor"/>
    </font>
    <font>
      <b/>
      <sz val="11"/>
      <color rgb="FF333333"/>
      <name val="Segoe UI"/>
    </font>
    <font>
      <b/>
      <i/>
      <sz val="11"/>
      <color rgb="FF333333"/>
      <name val="Segoe UI"/>
    </font>
    <font>
      <sz val="11"/>
      <color rgb="FF666666"/>
      <name val="Segoe UI"/>
    </font>
    <font>
      <b/>
      <sz val="12"/>
      <color theme="1"/>
      <name val="Segoe UI"/>
    </font>
    <font>
      <b/>
      <sz val="11"/>
      <color rgb="FF666666"/>
      <name val="Segoe UI"/>
    </font>
    <font>
      <b/>
      <sz val="11"/>
      <color rgb="FF4D4D4D"/>
      <name val="Segoe UI"/>
    </font>
    <font>
      <b/>
      <sz val="10.199999999999999"/>
      <color rgb="FF4D4D4D"/>
      <name val="Menlo"/>
      <family val="2"/>
    </font>
    <font>
      <b/>
      <i/>
      <sz val="12"/>
      <color rgb="FF666666"/>
      <name val="Segoe UI"/>
    </font>
    <font>
      <b/>
      <sz val="18"/>
      <color rgb="FF444444"/>
      <name val="Segoe UI"/>
    </font>
    <font>
      <sz val="10.199999999999999"/>
      <color theme="1"/>
      <name val="Menlo"/>
      <family val="2"/>
    </font>
    <font>
      <b/>
      <sz val="18"/>
      <color theme="1"/>
      <name val="Segoe UI"/>
    </font>
    <font>
      <b/>
      <sz val="11"/>
      <color theme="0"/>
      <name val="Segoe UI"/>
    </font>
    <font>
      <sz val="11"/>
      <color rgb="FF000000"/>
      <name val="Segoe UI"/>
    </font>
    <font>
      <b/>
      <i/>
      <sz val="11"/>
      <color theme="1"/>
      <name val="Segoe UI"/>
    </font>
    <font>
      <b/>
      <sz val="12"/>
      <color rgb="FF1F4E78"/>
      <name val="Segoe UI"/>
    </font>
    <font>
      <b/>
      <sz val="11"/>
      <color rgb="FF006100"/>
      <name val="Segoe UI"/>
    </font>
    <font>
      <i/>
      <sz val="11"/>
      <color theme="1"/>
      <name val="Segoe UI"/>
    </font>
    <font>
      <sz val="12"/>
      <color rgb="FF000000"/>
      <name val="Aptos Narrow"/>
      <family val="2"/>
      <scheme val="minor"/>
    </font>
    <font>
      <sz val="12"/>
      <color theme="1"/>
      <name val="Segoe UI"/>
    </font>
    <font>
      <sz val="12"/>
      <color rgb="FF000000"/>
      <name val="Segoe UI"/>
    </font>
    <font>
      <i/>
      <sz val="11"/>
      <color rgb="FF000000"/>
      <name val="Segoe UI"/>
    </font>
    <font>
      <sz val="12"/>
      <color theme="1"/>
      <name val="Apple Color Emoji"/>
    </font>
    <font>
      <b/>
      <sz val="16"/>
      <color theme="1" tint="0.499984740745262"/>
      <name val="Segoe UI"/>
    </font>
    <font>
      <b/>
      <sz val="16"/>
      <color theme="1" tint="0.249977111117893"/>
      <name val="Segoe UI"/>
    </font>
    <font>
      <b/>
      <i/>
      <sz val="12"/>
      <color theme="1" tint="0.249977111117893"/>
      <name val="Segoe UI"/>
    </font>
    <font>
      <u/>
      <sz val="12"/>
      <color theme="10"/>
      <name val="Aptos Narrow"/>
      <family val="2"/>
      <scheme val="minor"/>
    </font>
    <font>
      <b/>
      <sz val="16"/>
      <color rgb="FF444444"/>
      <name val="Segoe UI"/>
    </font>
    <font>
      <b/>
      <i/>
      <sz val="10"/>
      <color rgb="FF444444"/>
      <name val="Segoe UI"/>
    </font>
    <font>
      <b/>
      <sz val="12"/>
      <color theme="1" tint="0.34998626667073579"/>
      <name val="Segoe UI"/>
    </font>
    <font>
      <sz val="11"/>
      <color theme="1"/>
      <name val="Segoe UI"/>
    </font>
    <font>
      <b/>
      <u/>
      <sz val="11"/>
      <color theme="1"/>
      <name val="Segoe UI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/>
        <bgColor theme="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9.9978637043366805E-2"/>
        <bgColor indexed="64"/>
      </patternFill>
    </fill>
  </fills>
  <borders count="6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rgb="FFCCCCCC"/>
      </top>
      <bottom/>
      <diagonal/>
    </border>
    <border>
      <left/>
      <right/>
      <top/>
      <bottom style="thin">
        <color rgb="FFCCCCCC"/>
      </bottom>
      <diagonal/>
    </border>
    <border>
      <left/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 style="thin">
        <color rgb="FF333333"/>
      </right>
      <top/>
      <bottom/>
      <diagonal/>
    </border>
    <border>
      <left/>
      <right/>
      <top/>
      <bottom style="thin">
        <color rgb="FF666666"/>
      </bottom>
      <diagonal/>
    </border>
    <border>
      <left style="thin">
        <color rgb="FF666666"/>
      </left>
      <right/>
      <top/>
      <bottom/>
      <diagonal/>
    </border>
    <border>
      <left/>
      <right style="medium">
        <color rgb="FF666666"/>
      </right>
      <top style="medium">
        <color rgb="FF666666"/>
      </top>
      <bottom/>
      <diagonal/>
    </border>
    <border>
      <left/>
      <right style="medium">
        <color rgb="FF666666"/>
      </right>
      <top/>
      <bottom/>
      <diagonal/>
    </border>
    <border>
      <left/>
      <right style="medium">
        <color rgb="FF666666"/>
      </right>
      <top/>
      <bottom style="thin">
        <color indexed="64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 style="medium">
        <color rgb="FF666666"/>
      </right>
      <top style="thin">
        <color indexed="64"/>
      </top>
      <bottom style="thin">
        <color rgb="FF666666"/>
      </bottom>
      <diagonal/>
    </border>
    <border>
      <left/>
      <right style="medium">
        <color rgb="FF666666"/>
      </right>
      <top style="thin">
        <color rgb="FF666666"/>
      </top>
      <bottom style="thin">
        <color rgb="FF666666"/>
      </bottom>
      <diagonal/>
    </border>
    <border>
      <left style="medium">
        <color rgb="FF666666"/>
      </left>
      <right style="thin">
        <color rgb="FF666666"/>
      </right>
      <top/>
      <bottom style="medium">
        <color rgb="FF666666"/>
      </bottom>
      <diagonal/>
    </border>
    <border>
      <left style="medium">
        <color rgb="FF666666"/>
      </left>
      <right style="thin">
        <color rgb="FF666666"/>
      </right>
      <top/>
      <bottom style="thin">
        <color indexed="64"/>
      </bottom>
      <diagonal/>
    </border>
    <border>
      <left style="medium">
        <color rgb="FF666666"/>
      </left>
      <right style="thin">
        <color rgb="FF666666"/>
      </right>
      <top style="thin">
        <color indexed="64"/>
      </top>
      <bottom style="thin">
        <color rgb="FF666666"/>
      </bottom>
      <diagonal/>
    </border>
    <border>
      <left style="medium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medium">
        <color rgb="FF666666"/>
      </right>
      <top/>
      <bottom style="thin">
        <color rgb="FF666666"/>
      </bottom>
      <diagonal/>
    </border>
    <border>
      <left style="medium">
        <color rgb="FF666666"/>
      </left>
      <right style="thin">
        <color rgb="FF666666"/>
      </right>
      <top style="medium">
        <color rgb="FF666666"/>
      </top>
      <bottom/>
      <diagonal/>
    </border>
    <border>
      <left style="medium">
        <color rgb="FF666666"/>
      </left>
      <right style="thin">
        <color rgb="FF666666"/>
      </right>
      <top/>
      <bottom/>
      <diagonal/>
    </border>
    <border>
      <left style="medium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rgb="FF333333"/>
      </left>
      <right style="thin">
        <color indexed="64"/>
      </right>
      <top style="thin">
        <color rgb="FF333333"/>
      </top>
      <bottom style="thin">
        <color rgb="FF333333"/>
      </bottom>
      <diagonal/>
    </border>
    <border>
      <left style="thin">
        <color rgb="FF333333"/>
      </left>
      <right style="thin">
        <color indexed="64"/>
      </right>
      <top/>
      <bottom/>
      <diagonal/>
    </border>
    <border>
      <left style="thin">
        <color rgb="FF666666"/>
      </left>
      <right/>
      <top style="thin">
        <color rgb="FF666666"/>
      </top>
      <bottom/>
      <diagonal/>
    </border>
    <border>
      <left/>
      <right/>
      <top style="thin">
        <color rgb="FF666666"/>
      </top>
      <bottom/>
      <diagonal/>
    </border>
    <border>
      <left/>
      <right style="thin">
        <color rgb="FF666666"/>
      </right>
      <top style="thin">
        <color rgb="FF666666"/>
      </top>
      <bottom/>
      <diagonal/>
    </border>
    <border>
      <left/>
      <right style="thin">
        <color rgb="FF666666"/>
      </right>
      <top/>
      <bottom/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/>
      <bottom/>
      <diagonal/>
    </border>
    <border>
      <left style="thin">
        <color theme="0" tint="-0.499984740745262"/>
      </left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theme="0" tint="-0.499984740745262"/>
      </left>
      <right style="thin">
        <color rgb="FF666666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rgb="FF666666"/>
      </right>
      <top style="thin">
        <color theme="0" tint="-0.499984740745262"/>
      </top>
      <bottom style="thin">
        <color rgb="FF666666"/>
      </bottom>
      <diagonal/>
    </border>
    <border>
      <left style="thin">
        <color theme="0" tint="-0.499984740745262"/>
      </left>
      <right style="thin">
        <color rgb="FF666666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rgb="FF666666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0" tint="-0.499984740745262"/>
      </right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rgb="FF666666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34998626667073579"/>
      </left>
      <right/>
      <top/>
      <bottom style="thin">
        <color theme="1" tint="0.499984740745262"/>
      </bottom>
      <diagonal/>
    </border>
  </borders>
  <cellStyleXfs count="2">
    <xf numFmtId="0" fontId="0" fillId="0" borderId="0"/>
    <xf numFmtId="0" fontId="31" fillId="0" borderId="0" applyNumberForma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3" fillId="0" borderId="0" xfId="0" applyFont="1"/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14" fontId="2" fillId="0" borderId="5" xfId="0" applyNumberFormat="1" applyFont="1" applyBorder="1" applyAlignment="1">
      <alignment horizontal="left"/>
    </xf>
    <xf numFmtId="49" fontId="2" fillId="0" borderId="1" xfId="0" applyNumberFormat="1" applyFont="1" applyBorder="1"/>
    <xf numFmtId="1" fontId="2" fillId="0" borderId="1" xfId="0" applyNumberFormat="1" applyFont="1" applyBorder="1"/>
    <xf numFmtId="2" fontId="2" fillId="0" borderId="6" xfId="0" applyNumberFormat="1" applyFont="1" applyBorder="1"/>
    <xf numFmtId="14" fontId="2" fillId="0" borderId="7" xfId="0" applyNumberFormat="1" applyFont="1" applyBorder="1" applyAlignment="1">
      <alignment horizontal="left"/>
    </xf>
    <xf numFmtId="49" fontId="2" fillId="0" borderId="8" xfId="0" applyNumberFormat="1" applyFont="1" applyBorder="1"/>
    <xf numFmtId="1" fontId="2" fillId="0" borderId="8" xfId="0" applyNumberFormat="1" applyFont="1" applyBorder="1"/>
    <xf numFmtId="2" fontId="2" fillId="0" borderId="9" xfId="0" applyNumberFormat="1" applyFont="1" applyBorder="1"/>
    <xf numFmtId="14" fontId="0" fillId="0" borderId="0" xfId="0" applyNumberFormat="1"/>
    <xf numFmtId="0" fontId="4" fillId="0" borderId="0" xfId="0" applyFont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2" fillId="0" borderId="4" xfId="0" applyNumberFormat="1" applyFont="1" applyBorder="1"/>
    <xf numFmtId="164" fontId="2" fillId="0" borderId="6" xfId="0" applyNumberFormat="1" applyFont="1" applyBorder="1"/>
    <xf numFmtId="164" fontId="2" fillId="0" borderId="9" xfId="0" applyNumberFormat="1" applyFont="1" applyBorder="1"/>
    <xf numFmtId="164" fontId="2" fillId="0" borderId="0" xfId="0" applyNumberFormat="1" applyFont="1"/>
    <xf numFmtId="0" fontId="0" fillId="0" borderId="10" xfId="0" applyBorder="1"/>
    <xf numFmtId="0" fontId="2" fillId="0" borderId="11" xfId="0" applyFont="1" applyBorder="1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5" fillId="0" borderId="0" xfId="0" applyFont="1"/>
    <xf numFmtId="0" fontId="2" fillId="0" borderId="13" xfId="0" applyFont="1" applyBorder="1" applyAlignment="1">
      <alignment horizontal="left"/>
    </xf>
    <xf numFmtId="0" fontId="6" fillId="2" borderId="12" xfId="0" applyFont="1" applyFill="1" applyBorder="1" applyAlignment="1">
      <alignment horizontal="left"/>
    </xf>
    <xf numFmtId="0" fontId="2" fillId="0" borderId="15" xfId="0" applyFont="1" applyBorder="1" applyAlignment="1">
      <alignment horizontal="left"/>
    </xf>
    <xf numFmtId="2" fontId="2" fillId="0" borderId="0" xfId="0" applyNumberFormat="1" applyFont="1"/>
    <xf numFmtId="0" fontId="2" fillId="0" borderId="0" xfId="0" applyFont="1" applyAlignment="1">
      <alignment horizontal="right"/>
    </xf>
    <xf numFmtId="0" fontId="2" fillId="0" borderId="14" xfId="0" applyFont="1" applyBorder="1"/>
    <xf numFmtId="0" fontId="2" fillId="0" borderId="10" xfId="0" applyFont="1" applyBorder="1"/>
    <xf numFmtId="0" fontId="6" fillId="4" borderId="18" xfId="0" applyFont="1" applyFill="1" applyBorder="1" applyAlignment="1">
      <alignment horizontal="center"/>
    </xf>
    <xf numFmtId="0" fontId="2" fillId="3" borderId="19" xfId="0" applyFont="1" applyFill="1" applyBorder="1"/>
    <xf numFmtId="0" fontId="2" fillId="3" borderId="20" xfId="0" applyFont="1" applyFill="1" applyBorder="1"/>
    <xf numFmtId="0" fontId="2" fillId="3" borderId="21" xfId="0" applyFont="1" applyFill="1" applyBorder="1"/>
    <xf numFmtId="0" fontId="6" fillId="4" borderId="23" xfId="0" applyFont="1" applyFill="1" applyBorder="1" applyAlignment="1">
      <alignment horizontal="center"/>
    </xf>
    <xf numFmtId="0" fontId="2" fillId="3" borderId="24" xfId="0" applyFont="1" applyFill="1" applyBorder="1"/>
    <xf numFmtId="0" fontId="2" fillId="3" borderId="25" xfId="0" applyFont="1" applyFill="1" applyBorder="1"/>
    <xf numFmtId="0" fontId="2" fillId="3" borderId="22" xfId="0" applyFont="1" applyFill="1" applyBorder="1"/>
    <xf numFmtId="0" fontId="2" fillId="3" borderId="26" xfId="0" applyFont="1" applyFill="1" applyBorder="1"/>
    <xf numFmtId="0" fontId="2" fillId="3" borderId="29" xfId="0" applyFont="1" applyFill="1" applyBorder="1"/>
    <xf numFmtId="0" fontId="2" fillId="0" borderId="15" xfId="0" applyFont="1" applyBorder="1"/>
    <xf numFmtId="0" fontId="6" fillId="2" borderId="30" xfId="0" applyFont="1" applyFill="1" applyBorder="1"/>
    <xf numFmtId="0" fontId="2" fillId="0" borderId="31" xfId="0" applyFont="1" applyBorder="1"/>
    <xf numFmtId="0" fontId="6" fillId="4" borderId="27" xfId="0" applyFont="1" applyFill="1" applyBorder="1" applyAlignment="1">
      <alignment horizontal="left"/>
    </xf>
    <xf numFmtId="0" fontId="2" fillId="3" borderId="28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8" fillId="0" borderId="0" xfId="0" applyFont="1"/>
    <xf numFmtId="0" fontId="2" fillId="5" borderId="34" xfId="0" applyFont="1" applyFill="1" applyBorder="1" applyAlignment="1">
      <alignment horizontal="center"/>
    </xf>
    <xf numFmtId="0" fontId="2" fillId="5" borderId="35" xfId="0" applyFont="1" applyFill="1" applyBorder="1"/>
    <xf numFmtId="0" fontId="2" fillId="5" borderId="36" xfId="0" applyFont="1" applyFill="1" applyBorder="1"/>
    <xf numFmtId="0" fontId="2" fillId="5" borderId="37" xfId="0" applyFont="1" applyFill="1" applyBorder="1"/>
    <xf numFmtId="0" fontId="2" fillId="5" borderId="34" xfId="0" applyFont="1" applyFill="1" applyBorder="1"/>
    <xf numFmtId="165" fontId="9" fillId="5" borderId="15" xfId="0" applyNumberFormat="1" applyFont="1" applyFill="1" applyBorder="1" applyAlignment="1">
      <alignment horizontal="center"/>
    </xf>
    <xf numFmtId="0" fontId="2" fillId="5" borderId="39" xfId="0" applyFont="1" applyFill="1" applyBorder="1"/>
    <xf numFmtId="0" fontId="2" fillId="5" borderId="40" xfId="0" applyFont="1" applyFill="1" applyBorder="1"/>
    <xf numFmtId="0" fontId="11" fillId="6" borderId="38" xfId="0" applyFont="1" applyFill="1" applyBorder="1" applyAlignment="1">
      <alignment horizontal="center"/>
    </xf>
    <xf numFmtId="0" fontId="2" fillId="5" borderId="38" xfId="0" applyFont="1" applyFill="1" applyBorder="1"/>
    <xf numFmtId="0" fontId="10" fillId="5" borderId="32" xfId="0" applyFont="1" applyFill="1" applyBorder="1" applyAlignment="1">
      <alignment horizontal="center"/>
    </xf>
    <xf numFmtId="0" fontId="10" fillId="5" borderId="33" xfId="0" applyFont="1" applyFill="1" applyBorder="1" applyAlignment="1">
      <alignment horizontal="center"/>
    </xf>
    <xf numFmtId="165" fontId="9" fillId="5" borderId="0" xfId="0" applyNumberFormat="1" applyFont="1" applyFill="1" applyAlignment="1">
      <alignment horizontal="center"/>
    </xf>
    <xf numFmtId="0" fontId="10" fillId="0" borderId="0" xfId="0" applyFont="1" applyAlignment="1">
      <alignment horizontal="center"/>
    </xf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0" fillId="0" borderId="44" xfId="0" applyBorder="1"/>
    <xf numFmtId="0" fontId="13" fillId="0" borderId="0" xfId="0" applyFont="1"/>
    <xf numFmtId="0" fontId="11" fillId="7" borderId="43" xfId="0" applyFont="1" applyFill="1" applyBorder="1" applyAlignment="1">
      <alignment horizontal="center"/>
    </xf>
    <xf numFmtId="0" fontId="2" fillId="7" borderId="41" xfId="0" applyFont="1" applyFill="1" applyBorder="1"/>
    <xf numFmtId="0" fontId="2" fillId="7" borderId="42" xfId="0" applyFont="1" applyFill="1" applyBorder="1"/>
    <xf numFmtId="0" fontId="2" fillId="0" borderId="4" xfId="0" applyFont="1" applyBorder="1"/>
    <xf numFmtId="0" fontId="15" fillId="0" borderId="2" xfId="0" applyFont="1" applyBorder="1" applyAlignment="1">
      <alignment horizontal="left"/>
    </xf>
    <xf numFmtId="0" fontId="19" fillId="8" borderId="1" xfId="0" applyFont="1" applyFill="1" applyBorder="1" applyAlignment="1">
      <alignment horizontal="center"/>
    </xf>
    <xf numFmtId="0" fontId="0" fillId="8" borderId="51" xfId="0" applyFill="1" applyBorder="1"/>
    <xf numFmtId="0" fontId="2" fillId="8" borderId="52" xfId="0" applyFont="1" applyFill="1" applyBorder="1"/>
    <xf numFmtId="0" fontId="2" fillId="8" borderId="49" xfId="0" applyFont="1" applyFill="1" applyBorder="1"/>
    <xf numFmtId="0" fontId="2" fillId="8" borderId="4" xfId="0" applyFont="1" applyFill="1" applyBorder="1"/>
    <xf numFmtId="0" fontId="2" fillId="8" borderId="50" xfId="0" applyFont="1" applyFill="1" applyBorder="1"/>
    <xf numFmtId="0" fontId="2" fillId="8" borderId="3" xfId="0" applyFont="1" applyFill="1" applyBorder="1"/>
    <xf numFmtId="1" fontId="2" fillId="0" borderId="0" xfId="0" applyNumberFormat="1" applyFont="1"/>
    <xf numFmtId="49" fontId="2" fillId="9" borderId="1" xfId="0" applyNumberFormat="1" applyFont="1" applyFill="1" applyBorder="1"/>
    <xf numFmtId="44" fontId="2" fillId="0" borderId="1" xfId="0" applyNumberFormat="1" applyFont="1" applyBorder="1"/>
    <xf numFmtId="164" fontId="2" fillId="0" borderId="1" xfId="0" applyNumberFormat="1" applyFont="1" applyBorder="1"/>
    <xf numFmtId="49" fontId="2" fillId="0" borderId="9" xfId="0" applyNumberFormat="1" applyFont="1" applyBorder="1"/>
    <xf numFmtId="49" fontId="2" fillId="0" borderId="52" xfId="0" applyNumberFormat="1" applyFont="1" applyBorder="1"/>
    <xf numFmtId="49" fontId="2" fillId="0" borderId="4" xfId="0" applyNumberFormat="1" applyFont="1" applyBorder="1"/>
    <xf numFmtId="1" fontId="2" fillId="0" borderId="50" xfId="0" applyNumberFormat="1" applyFont="1" applyBorder="1"/>
    <xf numFmtId="1" fontId="21" fillId="0" borderId="1" xfId="0" applyNumberFormat="1" applyFont="1" applyBorder="1"/>
    <xf numFmtId="1" fontId="21" fillId="0" borderId="0" xfId="0" applyNumberFormat="1" applyFont="1"/>
    <xf numFmtId="1" fontId="21" fillId="0" borderId="50" xfId="0" applyNumberFormat="1" applyFont="1" applyBorder="1"/>
    <xf numFmtId="9" fontId="21" fillId="0" borderId="7" xfId="0" applyNumberFormat="1" applyFont="1" applyBorder="1"/>
    <xf numFmtId="9" fontId="21" fillId="0" borderId="49" xfId="0" applyNumberFormat="1" applyFont="1" applyBorder="1"/>
    <xf numFmtId="9" fontId="21" fillId="0" borderId="3" xfId="0" applyNumberFormat="1" applyFont="1" applyBorder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4" fillId="8" borderId="0" xfId="0" applyFont="1" applyFill="1"/>
    <xf numFmtId="0" fontId="2" fillId="8" borderId="0" xfId="0" applyFont="1" applyFill="1"/>
    <xf numFmtId="0" fontId="25" fillId="8" borderId="0" xfId="0" applyFont="1" applyFill="1"/>
    <xf numFmtId="0" fontId="24" fillId="8" borderId="50" xfId="0" applyFont="1" applyFill="1" applyBorder="1"/>
    <xf numFmtId="0" fontId="4" fillId="8" borderId="9" xfId="0" applyFont="1" applyFill="1" applyBorder="1"/>
    <xf numFmtId="0" fontId="0" fillId="8" borderId="7" xfId="0" applyFill="1" applyBorder="1"/>
    <xf numFmtId="0" fontId="0" fillId="8" borderId="52" xfId="0" applyFill="1" applyBorder="1"/>
    <xf numFmtId="0" fontId="0" fillId="8" borderId="0" xfId="0" applyFill="1"/>
    <xf numFmtId="0" fontId="0" fillId="8" borderId="49" xfId="0" applyFill="1" applyBorder="1"/>
    <xf numFmtId="164" fontId="2" fillId="9" borderId="1" xfId="0" applyNumberFormat="1" applyFont="1" applyFill="1" applyBorder="1"/>
    <xf numFmtId="1" fontId="21" fillId="9" borderId="1" xfId="0" applyNumberFormat="1" applyFont="1" applyFill="1" applyBorder="1"/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7" fillId="10" borderId="2" xfId="0" applyFont="1" applyFill="1" applyBorder="1" applyAlignment="1">
      <alignment horizontal="center"/>
    </xf>
    <xf numFmtId="0" fontId="17" fillId="10" borderId="4" xfId="0" applyFont="1" applyFill="1" applyBorder="1" applyAlignment="1">
      <alignment horizontal="center"/>
    </xf>
    <xf numFmtId="49" fontId="2" fillId="0" borderId="5" xfId="0" applyNumberFormat="1" applyFont="1" applyBorder="1"/>
    <xf numFmtId="49" fontId="2" fillId="0" borderId="7" xfId="0" applyNumberFormat="1" applyFont="1" applyBorder="1"/>
    <xf numFmtId="44" fontId="2" fillId="0" borderId="8" xfId="0" applyNumberFormat="1" applyFont="1" applyBorder="1"/>
    <xf numFmtId="164" fontId="2" fillId="9" borderId="8" xfId="0" applyNumberFormat="1" applyFont="1" applyFill="1" applyBorder="1"/>
    <xf numFmtId="1" fontId="21" fillId="9" borderId="8" xfId="0" applyNumberFormat="1" applyFont="1" applyFill="1" applyBorder="1"/>
    <xf numFmtId="0" fontId="26" fillId="0" borderId="0" xfId="0" applyFont="1"/>
    <xf numFmtId="0" fontId="18" fillId="8" borderId="52" xfId="0" applyFont="1" applyFill="1" applyBorder="1"/>
    <xf numFmtId="10" fontId="21" fillId="0" borderId="7" xfId="0" applyNumberFormat="1" applyFont="1" applyBorder="1"/>
    <xf numFmtId="10" fontId="21" fillId="0" borderId="49" xfId="0" applyNumberFormat="1" applyFont="1" applyBorder="1"/>
    <xf numFmtId="10" fontId="21" fillId="0" borderId="3" xfId="0" applyNumberFormat="1" applyFont="1" applyBorder="1"/>
    <xf numFmtId="0" fontId="2" fillId="0" borderId="1" xfId="0" applyFont="1" applyBorder="1"/>
    <xf numFmtId="0" fontId="2" fillId="0" borderId="8" xfId="0" applyFont="1" applyBorder="1"/>
    <xf numFmtId="0" fontId="17" fillId="10" borderId="3" xfId="0" applyFont="1" applyFill="1" applyBorder="1" applyAlignment="1">
      <alignment horizontal="center"/>
    </xf>
    <xf numFmtId="0" fontId="21" fillId="0" borderId="1" xfId="0" applyFont="1" applyBorder="1"/>
    <xf numFmtId="164" fontId="21" fillId="0" borderId="1" xfId="0" applyNumberFormat="1" applyFont="1" applyBorder="1"/>
    <xf numFmtId="164" fontId="21" fillId="9" borderId="6" xfId="0" applyNumberFormat="1" applyFont="1" applyFill="1" applyBorder="1"/>
    <xf numFmtId="164" fontId="21" fillId="0" borderId="6" xfId="0" applyNumberFormat="1" applyFont="1" applyBorder="1"/>
    <xf numFmtId="164" fontId="21" fillId="9" borderId="9" xfId="0" applyNumberFormat="1" applyFont="1" applyFill="1" applyBorder="1"/>
    <xf numFmtId="164" fontId="18" fillId="0" borderId="1" xfId="0" applyNumberFormat="1" applyFont="1" applyBorder="1"/>
    <xf numFmtId="0" fontId="18" fillId="0" borderId="1" xfId="0" applyFont="1" applyBorder="1"/>
    <xf numFmtId="1" fontId="18" fillId="0" borderId="1" xfId="0" applyNumberFormat="1" applyFont="1" applyBorder="1"/>
    <xf numFmtId="0" fontId="18" fillId="8" borderId="0" xfId="0" applyFont="1" applyFill="1"/>
    <xf numFmtId="164" fontId="2" fillId="0" borderId="8" xfId="0" applyNumberFormat="1" applyFont="1" applyBorder="1"/>
    <xf numFmtId="49" fontId="2" fillId="0" borderId="6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0" fontId="27" fillId="0" borderId="0" xfId="0" applyFont="1"/>
    <xf numFmtId="0" fontId="4" fillId="11" borderId="3" xfId="0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4" fillId="11" borderId="4" xfId="0" applyFont="1" applyFill="1" applyBorder="1" applyAlignment="1">
      <alignment horizontal="center"/>
    </xf>
    <xf numFmtId="166" fontId="2" fillId="0" borderId="1" xfId="0" applyNumberFormat="1" applyFont="1" applyBorder="1"/>
    <xf numFmtId="166" fontId="2" fillId="0" borderId="8" xfId="0" applyNumberFormat="1" applyFont="1" applyBorder="1"/>
    <xf numFmtId="0" fontId="4" fillId="0" borderId="0" xfId="0" applyFont="1"/>
    <xf numFmtId="0" fontId="11" fillId="0" borderId="0" xfId="0" applyFont="1" applyAlignment="1">
      <alignment horizontal="center"/>
    </xf>
    <xf numFmtId="0" fontId="11" fillId="6" borderId="53" xfId="0" applyFont="1" applyFill="1" applyBorder="1" applyAlignment="1">
      <alignment horizontal="center"/>
    </xf>
    <xf numFmtId="164" fontId="2" fillId="7" borderId="0" xfId="1" applyNumberFormat="1" applyFont="1" applyFill="1" applyBorder="1"/>
    <xf numFmtId="0" fontId="2" fillId="0" borderId="54" xfId="0" applyFont="1" applyBorder="1"/>
    <xf numFmtId="0" fontId="12" fillId="7" borderId="56" xfId="0" applyFont="1" applyFill="1" applyBorder="1" applyAlignment="1">
      <alignment horizontal="center"/>
    </xf>
    <xf numFmtId="165" fontId="2" fillId="7" borderId="57" xfId="0" applyNumberFormat="1" applyFont="1" applyFill="1" applyBorder="1"/>
    <xf numFmtId="165" fontId="2" fillId="7" borderId="58" xfId="0" applyNumberFormat="1" applyFont="1" applyFill="1" applyBorder="1"/>
    <xf numFmtId="0" fontId="14" fillId="0" borderId="0" xfId="0" applyFont="1"/>
    <xf numFmtId="0" fontId="12" fillId="7" borderId="60" xfId="0" applyFont="1" applyFill="1" applyBorder="1" applyAlignment="1">
      <alignment horizontal="center"/>
    </xf>
    <xf numFmtId="0" fontId="2" fillId="0" borderId="61" xfId="0" applyFont="1" applyBorder="1"/>
    <xf numFmtId="49" fontId="2" fillId="0" borderId="0" xfId="0" applyNumberFormat="1" applyFont="1"/>
    <xf numFmtId="0" fontId="6" fillId="4" borderId="62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2" fillId="0" borderId="63" xfId="0" applyFont="1" applyBorder="1" applyAlignment="1">
      <alignment vertical="center"/>
    </xf>
    <xf numFmtId="0" fontId="2" fillId="0" borderId="63" xfId="0" applyFont="1" applyBorder="1"/>
    <xf numFmtId="0" fontId="2" fillId="0" borderId="2" xfId="0" applyFont="1" applyBorder="1"/>
    <xf numFmtId="164" fontId="2" fillId="0" borderId="49" xfId="0" applyNumberFormat="1" applyFont="1" applyBorder="1"/>
    <xf numFmtId="164" fontId="2" fillId="0" borderId="3" xfId="0" applyNumberFormat="1" applyFont="1" applyBorder="1"/>
    <xf numFmtId="164" fontId="2" fillId="7" borderId="64" xfId="1" applyNumberFormat="1" applyFont="1" applyFill="1" applyBorder="1"/>
    <xf numFmtId="49" fontId="4" fillId="12" borderId="55" xfId="0" applyNumberFormat="1" applyFont="1" applyFill="1" applyBorder="1"/>
    <xf numFmtId="49" fontId="2" fillId="2" borderId="55" xfId="0" applyNumberFormat="1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 wrapText="1"/>
    </xf>
    <xf numFmtId="0" fontId="35" fillId="0" borderId="0" xfId="0" applyFont="1"/>
    <xf numFmtId="49" fontId="4" fillId="12" borderId="1" xfId="0" applyNumberFormat="1" applyFont="1" applyFill="1" applyBorder="1"/>
    <xf numFmtId="0" fontId="36" fillId="2" borderId="9" xfId="0" applyFont="1" applyFill="1" applyBorder="1"/>
    <xf numFmtId="0" fontId="2" fillId="2" borderId="51" xfId="0" applyFont="1" applyFill="1" applyBorder="1"/>
    <xf numFmtId="0" fontId="2" fillId="2" borderId="7" xfId="0" applyFont="1" applyFill="1" applyBorder="1"/>
    <xf numFmtId="0" fontId="2" fillId="2" borderId="52" xfId="0" applyFont="1" applyFill="1" applyBorder="1"/>
    <xf numFmtId="0" fontId="2" fillId="2" borderId="0" xfId="0" applyFont="1" applyFill="1"/>
    <xf numFmtId="0" fontId="2" fillId="2" borderId="49" xfId="0" applyFont="1" applyFill="1" applyBorder="1"/>
    <xf numFmtId="0" fontId="36" fillId="2" borderId="52" xfId="0" applyFont="1" applyFill="1" applyBorder="1"/>
    <xf numFmtId="0" fontId="2" fillId="2" borderId="4" xfId="0" applyFont="1" applyFill="1" applyBorder="1"/>
    <xf numFmtId="0" fontId="2" fillId="2" borderId="50" xfId="0" applyFont="1" applyFill="1" applyBorder="1"/>
    <xf numFmtId="0" fontId="2" fillId="2" borderId="3" xfId="0" applyFont="1" applyFill="1" applyBorder="1"/>
    <xf numFmtId="164" fontId="2" fillId="2" borderId="55" xfId="0" applyNumberFormat="1" applyFont="1" applyFill="1" applyBorder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10" fillId="5" borderId="32" xfId="0" applyFont="1" applyFill="1" applyBorder="1" applyAlignment="1">
      <alignment horizontal="left"/>
    </xf>
    <xf numFmtId="0" fontId="10" fillId="5" borderId="34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3" fillId="0" borderId="55" xfId="0" applyFont="1" applyBorder="1" applyAlignment="1">
      <alignment horizontal="center"/>
    </xf>
    <xf numFmtId="0" fontId="13" fillId="0" borderId="59" xfId="0" applyFont="1" applyBorder="1" applyAlignment="1">
      <alignment horizontal="center"/>
    </xf>
    <xf numFmtId="0" fontId="19" fillId="8" borderId="1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2" fillId="8" borderId="4" xfId="0" applyFont="1" applyFill="1" applyBorder="1" applyAlignment="1">
      <alignment horizontal="center"/>
    </xf>
    <xf numFmtId="0" fontId="22" fillId="8" borderId="50" xfId="0" applyFont="1" applyFill="1" applyBorder="1" applyAlignment="1">
      <alignment horizontal="center"/>
    </xf>
    <xf numFmtId="0" fontId="22" fillId="8" borderId="3" xfId="0" applyFont="1" applyFill="1" applyBorder="1" applyAlignment="1">
      <alignment horizontal="center"/>
    </xf>
    <xf numFmtId="0" fontId="26" fillId="8" borderId="52" xfId="0" applyFont="1" applyFill="1" applyBorder="1" applyAlignment="1">
      <alignment horizontal="center"/>
    </xf>
    <xf numFmtId="0" fontId="26" fillId="8" borderId="0" xfId="0" applyFont="1" applyFill="1" applyAlignment="1">
      <alignment horizontal="center"/>
    </xf>
    <xf numFmtId="0" fontId="26" fillId="8" borderId="49" xfId="0" applyFont="1" applyFill="1" applyBorder="1" applyAlignment="1">
      <alignment horizontal="center"/>
    </xf>
    <xf numFmtId="0" fontId="22" fillId="8" borderId="52" xfId="0" applyFont="1" applyFill="1" applyBorder="1" applyAlignment="1">
      <alignment horizontal="center"/>
    </xf>
    <xf numFmtId="0" fontId="22" fillId="8" borderId="0" xfId="0" applyFont="1" applyFill="1" applyAlignment="1">
      <alignment horizontal="center"/>
    </xf>
    <xf numFmtId="0" fontId="22" fillId="8" borderId="49" xfId="0" applyFont="1" applyFill="1" applyBorder="1" applyAlignment="1">
      <alignment horizontal="center"/>
    </xf>
    <xf numFmtId="0" fontId="22" fillId="8" borderId="9" xfId="0" applyFont="1" applyFill="1" applyBorder="1" applyAlignment="1">
      <alignment horizontal="center"/>
    </xf>
    <xf numFmtId="0" fontId="22" fillId="8" borderId="51" xfId="0" applyFont="1" applyFill="1" applyBorder="1" applyAlignment="1">
      <alignment horizontal="center"/>
    </xf>
    <xf numFmtId="0" fontId="22" fillId="8" borderId="7" xfId="0" applyFont="1" applyFill="1" applyBorder="1" applyAlignment="1">
      <alignment horizontal="center"/>
    </xf>
    <xf numFmtId="0" fontId="26" fillId="8" borderId="9" xfId="0" applyFont="1" applyFill="1" applyBorder="1" applyAlignment="1">
      <alignment horizontal="center"/>
    </xf>
    <xf numFmtId="0" fontId="26" fillId="8" borderId="51" xfId="0" applyFont="1" applyFill="1" applyBorder="1" applyAlignment="1">
      <alignment horizontal="center"/>
    </xf>
    <xf numFmtId="0" fontId="26" fillId="8" borderId="7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33" fillId="0" borderId="0" xfId="0" applyFont="1" applyAlignment="1">
      <alignment horizontal="center"/>
    </xf>
  </cellXfs>
  <cellStyles count="2">
    <cellStyle name="Hipervínculo" xfId="1" builtinId="8"/>
    <cellStyle name="Normal" xfId="0" builtinId="0"/>
  </cellStyles>
  <dxfs count="92">
    <dxf>
      <font>
        <color rgb="FF1E7B1E"/>
      </font>
      <fill>
        <patternFill>
          <bgColor rgb="FFD9FAD9"/>
        </patternFill>
      </fill>
    </dxf>
    <dxf>
      <font>
        <color rgb="FFB45F06"/>
      </font>
      <fill>
        <patternFill>
          <bgColor rgb="FFFFF2CC"/>
        </patternFill>
      </fill>
    </dxf>
    <dxf>
      <font>
        <color rgb="FF990000"/>
      </font>
      <fill>
        <patternFill>
          <bgColor rgb="FFF4CCCC"/>
        </patternFill>
      </fill>
    </dxf>
    <dxf>
      <font>
        <color rgb="FF006100"/>
      </font>
      <fill>
        <patternFill>
          <bgColor rgb="FFD9EAD3"/>
        </patternFill>
      </fill>
    </dxf>
    <dxf>
      <font>
        <color rgb="FFB45F06"/>
      </font>
      <fill>
        <patternFill>
          <bgColor rgb="FFFFF2CC"/>
        </patternFill>
      </fill>
    </dxf>
    <dxf>
      <font>
        <color rgb="FF990000"/>
      </font>
      <fill>
        <patternFill>
          <bgColor rgb="FFF4CCCC"/>
        </patternFill>
      </fill>
    </dxf>
    <dxf>
      <font>
        <color rgb="FF276749"/>
      </font>
      <fill>
        <patternFill>
          <bgColor rgb="FFC8E6C9"/>
        </patternFill>
      </fill>
    </dxf>
    <dxf>
      <font>
        <color rgb="FF842029"/>
      </font>
      <fill>
        <patternFill>
          <bgColor rgb="FFF8D7DA"/>
        </patternFill>
      </fill>
    </dxf>
    <dxf>
      <font>
        <color rgb="FFB45F06"/>
      </font>
      <fill>
        <patternFill>
          <bgColor rgb="FFFFF2CC"/>
        </patternFill>
      </fill>
    </dxf>
    <dxf>
      <font>
        <b/>
        <i val="0"/>
        <color rgb="FF276749"/>
      </font>
      <fill>
        <patternFill>
          <bgColor rgb="FFD4EED1"/>
        </patternFill>
      </fill>
    </dxf>
    <dxf>
      <font>
        <b/>
        <i val="0"/>
        <color rgb="FFB7791F"/>
      </font>
      <fill>
        <patternFill>
          <bgColor rgb="FFFFF4CC"/>
        </patternFill>
      </fill>
    </dxf>
    <dxf>
      <font>
        <b/>
        <i val="0"/>
        <color rgb="FF842029"/>
      </font>
      <fill>
        <patternFill>
          <bgColor rgb="FFF8D7DA"/>
        </patternFill>
      </fill>
    </dxf>
    <dxf>
      <font>
        <color rgb="FFB45F06"/>
      </font>
      <fill>
        <patternFill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6" formatCode="0.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64" formatCode="#,##0.00\ &quot;€&quot;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Segoe UI"/>
        <scheme val="none"/>
      </font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Segoe UI"/>
        <scheme val="none"/>
      </font>
      <numFmt numFmtId="1" formatCode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Segoe UI"/>
        <scheme val="none"/>
      </font>
      <numFmt numFmtId="164" formatCode="#,##0.00\ &quot;€&quot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rgb="FF000000"/>
        <name val="Segoe UI"/>
        <scheme val="none"/>
      </font>
      <numFmt numFmtId="164" formatCode="#,##0.00\ &quot;€&quot;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auto="1"/>
        </lef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Segoe UI"/>
        <scheme val="none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64" formatCode="#,##0.00\ &quot;€&quot;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" formatCode="0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4" formatCode="_-* #,##0.00\ &quot;€&quot;_-;\-* #,##0.00\ &quot;€&quot;_-;_-* &quot;-&quot;??\ &quot;€&quot;_-;_-@_-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4" formatCode="_-* #,##0.00\ &quot;€&quot;_-;\-* #,##0.00\ &quot;€&quot;_-;_-* &quot;-&quot;??\ &quot;€&quot;_-;_-@_-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Segoe UI"/>
        <scheme val="none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64" formatCode="#,##0.00\ &quot;€&quot;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" formatCode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4" formatCode="_-* #,##0.00\ &quot;€&quot;_-;\-* #,##0.00\ &quot;€&quot;_-;_-* &quot;-&quot;??\ &quot;€&quot;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4" formatCode="_-* #,##0.00\ &quot;€&quot;_-;\-* #,##0.00\ &quot;€&quot;_-;_-* &quot;-&quot;??\ &quot;€&quot;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fill>
        <patternFill patternType="none">
          <fgColor indexed="64"/>
          <bgColor auto="1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2" formatCode="0.0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9" formatCode="d/m/yy"/>
      <alignment horizontal="left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</dxfs>
  <tableStyles count="0" defaultTableStyle="TableStyleMedium2" defaultPivotStyle="PivotStyleLight16"/>
  <colors>
    <mruColors>
      <color rgb="FFB45F06"/>
      <color rgb="FF444444"/>
      <color rgb="FF990000"/>
      <color rgb="FFF4CCCC"/>
      <color rgb="FFFFF2CC"/>
      <color rgb="FFFFE5CC"/>
      <color rgb="FFFFF4CC"/>
      <color rgb="FF1E7B1E"/>
      <color rgb="FFD9FAD9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ES" sz="1200" b="1" i="0" u="none" strike="noStrike" baseline="0">
                <a:latin typeface="Segoe UI" panose="020B0502040204020203" pitchFamily="34" charset="0"/>
                <a:cs typeface="Segoe UI" panose="020B0502040204020203" pitchFamily="34" charset="0"/>
              </a:rPr>
              <a:t>Rentabilidad por combinación Producto–País</a:t>
            </a:r>
            <a:endParaRPr lang="en-US" sz="1200" b="1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'2_Modelo'!$J$4</c:f>
              <c:strCache>
                <c:ptCount val="1"/>
                <c:pt idx="0">
                  <c:v>Cantidad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4202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353-8E4C-8148-0D0F3F50B332}"/>
              </c:ext>
            </c:extLst>
          </c:dPt>
          <c:dPt>
            <c:idx val="1"/>
            <c:invertIfNegative val="0"/>
            <c:bubble3D val="0"/>
            <c:spPr>
              <a:solidFill>
                <a:srgbClr val="27674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53-8E4C-8148-0D0F3F50B332}"/>
              </c:ext>
            </c:extLst>
          </c:dPt>
          <c:dPt>
            <c:idx val="2"/>
            <c:invertIfNegative val="0"/>
            <c:bubble3D val="0"/>
            <c:spPr>
              <a:solidFill>
                <a:srgbClr val="006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777-3B48-924C-69FCA92C40D9}"/>
              </c:ext>
            </c:extLst>
          </c:dPt>
          <c:dLbls>
            <c:dLbl>
              <c:idx val="1"/>
              <c:spPr>
                <a:solidFill>
                  <a:srgbClr val="B45F06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353-8E4C-8148-0D0F3F50B3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'2_Modelo'!$I$5:$I$7</c:f>
              <c:strCache>
                <c:ptCount val="3"/>
                <c:pt idx="0">
                  <c:v>Baja</c:v>
                </c:pt>
                <c:pt idx="1">
                  <c:v>Media</c:v>
                </c:pt>
                <c:pt idx="2">
                  <c:v>Alta</c:v>
                </c:pt>
              </c:strCache>
            </c:strRef>
          </c:cat>
          <c:val>
            <c:numRef>
              <c:f>'2_Modelo'!$J$5:$J$7</c:f>
              <c:numCache>
                <c:formatCode>General</c:formatCode>
                <c:ptCount val="3"/>
                <c:pt idx="0">
                  <c:v>37</c:v>
                </c:pt>
                <c:pt idx="1">
                  <c:v>0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3-8E4C-8148-0D0F3F50B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1401056"/>
        <c:axId val="831402768"/>
      </c:barChart>
      <c:catAx>
        <c:axId val="831401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1402768"/>
        <c:crosses val="autoZero"/>
        <c:auto val="1"/>
        <c:lblAlgn val="ctr"/>
        <c:lblOffset val="100"/>
        <c:noMultiLvlLbl val="0"/>
      </c:catAx>
      <c:valAx>
        <c:axId val="831402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3140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rgbClr val="666666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ES" sz="1200" b="1" i="0" u="none" strike="noStrike" baseline="0"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Distribución de rentabilidad</a:t>
            </a:r>
            <a:endParaRPr lang="es-ES_tradnl" sz="1200" b="1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_tradnl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'2_Modelo'!$J$4</c:f>
              <c:strCache>
                <c:ptCount val="1"/>
                <c:pt idx="0">
                  <c:v>Cantidad</c:v>
                </c:pt>
              </c:strCache>
            </c:strRef>
          </c:tx>
          <c:spPr>
            <a:solidFill>
              <a:srgbClr val="276749"/>
            </a:solidFill>
          </c:spPr>
          <c:dPt>
            <c:idx val="0"/>
            <c:bubble3D val="0"/>
            <c:spPr>
              <a:solidFill>
                <a:srgbClr val="84202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3-E14B-A183-56B5232EC38C}"/>
              </c:ext>
            </c:extLst>
          </c:dPt>
          <c:dPt>
            <c:idx val="1"/>
            <c:bubble3D val="0"/>
            <c:spPr>
              <a:solidFill>
                <a:srgbClr val="27674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293-E14B-A183-56B5232EC38C}"/>
              </c:ext>
            </c:extLst>
          </c:dPt>
          <c:dPt>
            <c:idx val="2"/>
            <c:bubble3D val="0"/>
            <c:spPr>
              <a:solidFill>
                <a:srgbClr val="27674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EA3-6847-B9C0-EFD62431FA22}"/>
              </c:ext>
            </c:extLst>
          </c:dPt>
          <c:dLbls>
            <c:dLbl>
              <c:idx val="0"/>
              <c:layout>
                <c:manualLayout>
                  <c:x val="8.8131042880393126E-2"/>
                  <c:y val="-1.33695656750964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93-E14B-A183-56B5232EC38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93-E14B-A183-56B5232EC38C}"/>
                </c:ext>
              </c:extLst>
            </c:dLbl>
            <c:dLbl>
              <c:idx val="2"/>
              <c:layout>
                <c:manualLayout>
                  <c:x val="-8.5376947790380867E-2"/>
                  <c:y val="0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EA3-6847-B9C0-EFD62431FA2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'2_Modelo'!$I$5:$I$7</c:f>
              <c:strCache>
                <c:ptCount val="3"/>
                <c:pt idx="0">
                  <c:v>Baja</c:v>
                </c:pt>
                <c:pt idx="1">
                  <c:v>Media</c:v>
                </c:pt>
                <c:pt idx="2">
                  <c:v>Alta</c:v>
                </c:pt>
              </c:strCache>
            </c:strRef>
          </c:cat>
          <c:val>
            <c:numRef>
              <c:f>'2_Modelo'!$J$5:$J$7</c:f>
              <c:numCache>
                <c:formatCode>General</c:formatCode>
                <c:ptCount val="3"/>
                <c:pt idx="0">
                  <c:v>37</c:v>
                </c:pt>
                <c:pt idx="1">
                  <c:v>0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3-E14B-A183-56B5232E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rgbClr val="666666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200" b="1" i="0" u="none" strike="noStrike" baseline="0">
                <a:solidFill>
                  <a:srgbClr val="666666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Rentabilidad por país – Producto seleccionado</a:t>
            </a:r>
            <a:endParaRPr lang="es-ES_tradnl" sz="1200" b="1">
              <a:solidFill>
                <a:srgbClr val="666666"/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>
        <c:manualLayout>
          <c:layoutTarget val="inner"/>
          <c:xMode val="edge"/>
          <c:yMode val="edge"/>
          <c:x val="0.12341200138444233"/>
          <c:y val="0.14062848281474652"/>
          <c:w val="0.8763575518843032"/>
          <c:h val="0.7822052399065863"/>
        </c:manualLayout>
      </c:layout>
      <c:barChart>
        <c:barDir val="bar"/>
        <c:grouping val="clustered"/>
        <c:varyColors val="0"/>
        <c:ser>
          <c:idx val="0"/>
          <c:order val="0"/>
          <c:tx>
            <c:v>Alta</c:v>
          </c:tx>
          <c:spPr>
            <a:solidFill>
              <a:srgbClr val="38761D"/>
            </a:solidFill>
            <a:ln>
              <a:noFill/>
            </a:ln>
            <a:effectLst/>
          </c:spPr>
          <c:invertIfNegative val="0"/>
          <c:cat>
            <c:strRef>
              <c:f>'3_Dashboard'!$A$20:$A$29</c:f>
              <c:strCache>
                <c:ptCount val="10"/>
                <c:pt idx="0">
                  <c:v>Alemania</c:v>
                </c:pt>
                <c:pt idx="1">
                  <c:v>China</c:v>
                </c:pt>
                <c:pt idx="2">
                  <c:v>EE.UU.</c:v>
                </c:pt>
                <c:pt idx="3">
                  <c:v>España</c:v>
                </c:pt>
                <c:pt idx="4">
                  <c:v>Francia</c:v>
                </c:pt>
                <c:pt idx="5">
                  <c:v>Italia</c:v>
                </c:pt>
                <c:pt idx="6">
                  <c:v>Japón</c:v>
                </c:pt>
                <c:pt idx="7">
                  <c:v>México</c:v>
                </c:pt>
                <c:pt idx="8">
                  <c:v>Portugal</c:v>
                </c:pt>
                <c:pt idx="9">
                  <c:v>Reino Unido</c:v>
                </c:pt>
              </c:strCache>
            </c:strRef>
          </c:cat>
          <c:val>
            <c:numRef>
              <c:f>'3_Dashboard'!$S$6:$S$15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79-064F-966A-DC3315FAC00C}"/>
            </c:ext>
          </c:extLst>
        </c:ser>
        <c:ser>
          <c:idx val="1"/>
          <c:order val="1"/>
          <c:tx>
            <c:v>Media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'3_Dashboard'!$A$20:$A$29</c:f>
              <c:strCache>
                <c:ptCount val="10"/>
                <c:pt idx="0">
                  <c:v>Alemania</c:v>
                </c:pt>
                <c:pt idx="1">
                  <c:v>China</c:v>
                </c:pt>
                <c:pt idx="2">
                  <c:v>EE.UU.</c:v>
                </c:pt>
                <c:pt idx="3">
                  <c:v>España</c:v>
                </c:pt>
                <c:pt idx="4">
                  <c:v>Francia</c:v>
                </c:pt>
                <c:pt idx="5">
                  <c:v>Italia</c:v>
                </c:pt>
                <c:pt idx="6">
                  <c:v>Japón</c:v>
                </c:pt>
                <c:pt idx="7">
                  <c:v>México</c:v>
                </c:pt>
                <c:pt idx="8">
                  <c:v>Portugal</c:v>
                </c:pt>
                <c:pt idx="9">
                  <c:v>Reino Unido</c:v>
                </c:pt>
              </c:strCache>
            </c:strRef>
          </c:cat>
          <c:val>
            <c:numRef>
              <c:f>'3_Dashboard'!$T$6:$T$15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79-064F-966A-DC3315FAC00C}"/>
            </c:ext>
          </c:extLst>
        </c:ser>
        <c:ser>
          <c:idx val="2"/>
          <c:order val="2"/>
          <c:tx>
            <c:v>Baja</c:v>
          </c:tx>
          <c:spPr>
            <a:solidFill>
              <a:srgbClr val="990000"/>
            </a:solidFill>
            <a:ln>
              <a:noFill/>
            </a:ln>
            <a:effectLst/>
          </c:spPr>
          <c:invertIfNegative val="0"/>
          <c:cat>
            <c:strRef>
              <c:f>'3_Dashboard'!$A$20:$A$29</c:f>
              <c:strCache>
                <c:ptCount val="10"/>
                <c:pt idx="0">
                  <c:v>Alemania</c:v>
                </c:pt>
                <c:pt idx="1">
                  <c:v>China</c:v>
                </c:pt>
                <c:pt idx="2">
                  <c:v>EE.UU.</c:v>
                </c:pt>
                <c:pt idx="3">
                  <c:v>España</c:v>
                </c:pt>
                <c:pt idx="4">
                  <c:v>Francia</c:v>
                </c:pt>
                <c:pt idx="5">
                  <c:v>Italia</c:v>
                </c:pt>
                <c:pt idx="6">
                  <c:v>Japón</c:v>
                </c:pt>
                <c:pt idx="7">
                  <c:v>México</c:v>
                </c:pt>
                <c:pt idx="8">
                  <c:v>Portugal</c:v>
                </c:pt>
                <c:pt idx="9">
                  <c:v>Reino Unido</c:v>
                </c:pt>
              </c:strCache>
            </c:strRef>
          </c:cat>
          <c:val>
            <c:numRef>
              <c:f>'3_Dashboard'!$U$6:$U$15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79-064F-966A-DC3315FAC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1022768"/>
        <c:axId val="1933094592"/>
      </c:barChart>
      <c:catAx>
        <c:axId val="212102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3094592"/>
        <c:crosses val="autoZero"/>
        <c:auto val="1"/>
        <c:lblAlgn val="ctr"/>
        <c:lblOffset val="100"/>
        <c:noMultiLvlLbl val="0"/>
      </c:catAx>
      <c:valAx>
        <c:axId val="19330945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10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0795" cap="flat" cmpd="sng" algn="ctr">
      <a:solidFill>
        <a:srgbClr val="666666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200" b="1" i="0" u="none" strike="noStrike" baseline="0">
                <a:solidFill>
                  <a:srgbClr val="666666"/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Distribución global de la rentabilidad</a:t>
            </a:r>
            <a:endParaRPr lang="es-ES_tradnl" sz="1200" b="1">
              <a:solidFill>
                <a:srgbClr val="666666"/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8761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40-AF4A-9F0D-F51C2D8709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40-AF4A-9F0D-F51C2D8709B7}"/>
              </c:ext>
            </c:extLst>
          </c:dPt>
          <c:dPt>
            <c:idx val="2"/>
            <c:bubble3D val="0"/>
            <c:spPr>
              <a:solidFill>
                <a:srgbClr val="99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E40-AF4A-9F0D-F51C2D8709B7}"/>
              </c:ext>
            </c:extLst>
          </c:dPt>
          <c:dLbls>
            <c:dLbl>
              <c:idx val="0"/>
              <c:layout>
                <c:manualLayout>
                  <c:x val="-9.0462487122310725E-2"/>
                  <c:y val="3.409091214127640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40-AF4A-9F0D-F51C2D8709B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40-AF4A-9F0D-F51C2D8709B7}"/>
                </c:ext>
              </c:extLst>
            </c:dLbl>
            <c:dLbl>
              <c:idx val="2"/>
              <c:layout>
                <c:manualLayout>
                  <c:x val="9.2843078888687189E-2"/>
                  <c:y val="6.818182428255344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40-AF4A-9F0D-F51C2D8709B7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'3_Dashboard'!$M$6:$M$8</c:f>
              <c:strCache>
                <c:ptCount val="3"/>
                <c:pt idx="0">
                  <c:v>Alta</c:v>
                </c:pt>
                <c:pt idx="1">
                  <c:v>Media</c:v>
                </c:pt>
                <c:pt idx="2">
                  <c:v>Baja</c:v>
                </c:pt>
              </c:strCache>
            </c:strRef>
          </c:cat>
          <c:val>
            <c:numRef>
              <c:f>'3_Dashboard'!$N$6:$N$8</c:f>
              <c:numCache>
                <c:formatCode>General</c:formatCode>
                <c:ptCount val="3"/>
                <c:pt idx="0">
                  <c:v>36</c:v>
                </c:pt>
                <c:pt idx="1">
                  <c:v>0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0-AF4A-9F0D-F51C2D870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82"/>
        <c:holeSize val="65"/>
      </c:doughnutChart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0795" cap="flat" cmpd="sng" algn="ctr">
      <a:solidFill>
        <a:srgbClr val="666666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Aprovechamiento logístico por producto – Escenario sin restricciones</a:t>
            </a:r>
            <a:endParaRPr lang="es-ES_tradnl" b="1"/>
          </a:p>
        </c:rich>
      </c:tx>
      <c:layout>
        <c:manualLayout>
          <c:xMode val="edge"/>
          <c:yMode val="edge"/>
          <c:x val="0.14490547892701769"/>
          <c:y val="4.46410150053731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>
        <c:manualLayout>
          <c:layoutTarget val="inner"/>
          <c:xMode val="edge"/>
          <c:yMode val="edge"/>
          <c:x val="0.11038019125176175"/>
          <c:y val="0.13604079419704793"/>
          <c:w val="0.88961978563740585"/>
          <c:h val="0.8306050941369413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1F4E78"/>
            </a:solidFill>
            <a:ln>
              <a:noFill/>
            </a:ln>
            <a:effectLst/>
          </c:spPr>
          <c:invertIfNegative val="0"/>
          <c:dLbls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AB-2540-B82D-BF2F08BED1C9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'4_Solver_Escenarios'!$N$8:$N$15</c:f>
              <c:strCache>
                <c:ptCount val="8"/>
                <c:pt idx="0">
                  <c:v>Aceite</c:v>
                </c:pt>
                <c:pt idx="1">
                  <c:v>Cerveza</c:v>
                </c:pt>
                <c:pt idx="2">
                  <c:v>Cerámica</c:v>
                </c:pt>
                <c:pt idx="3">
                  <c:v>Chocolate</c:v>
                </c:pt>
                <c:pt idx="4">
                  <c:v>Jabón</c:v>
                </c:pt>
                <c:pt idx="5">
                  <c:v>Miel</c:v>
                </c:pt>
                <c:pt idx="6">
                  <c:v>Queso</c:v>
                </c:pt>
                <c:pt idx="7">
                  <c:v>Vino</c:v>
                </c:pt>
              </c:strCache>
            </c:strRef>
          </c:cat>
          <c:val>
            <c:numRef>
              <c:f>'4_Solver_Escenarios'!$Q$8:$Q$15</c:f>
              <c:numCache>
                <c:formatCode>0.00%</c:formatCode>
                <c:ptCount val="8"/>
                <c:pt idx="0">
                  <c:v>0.77647058823529413</c:v>
                </c:pt>
                <c:pt idx="1">
                  <c:v>0.84776119402985073</c:v>
                </c:pt>
                <c:pt idx="2">
                  <c:v>0.85614035087719298</c:v>
                </c:pt>
                <c:pt idx="3">
                  <c:v>0.84736842105263155</c:v>
                </c:pt>
                <c:pt idx="4">
                  <c:v>0.89</c:v>
                </c:pt>
                <c:pt idx="5">
                  <c:v>0.89619377162629754</c:v>
                </c:pt>
                <c:pt idx="6">
                  <c:v>0.90459363957597172</c:v>
                </c:pt>
                <c:pt idx="7">
                  <c:v>0.92031872509960155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B-2540-B82D-BF2F08BED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47005376"/>
        <c:axId val="29549199"/>
      </c:barChart>
      <c:catAx>
        <c:axId val="1447005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549199"/>
        <c:crosses val="autoZero"/>
        <c:auto val="1"/>
        <c:lblAlgn val="ctr"/>
        <c:lblOffset val="100"/>
        <c:noMultiLvlLbl val="0"/>
      </c:catAx>
      <c:valAx>
        <c:axId val="29549199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447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0795" cap="flat" cmpd="sng" algn="ctr">
      <a:solidFill>
        <a:srgbClr val="000000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Aprovechamiento logístico por producto – Escenario con restricciones</a:t>
            </a:r>
            <a:endParaRPr lang="es-ES_tradnl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_tradnl"/>
          </a:p>
        </c:rich>
      </c:tx>
      <c:layout>
        <c:manualLayout>
          <c:xMode val="edge"/>
          <c:yMode val="edge"/>
          <c:x val="0.13928618850637073"/>
          <c:y val="2.8133362475854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>
        <c:manualLayout>
          <c:layoutTarget val="inner"/>
          <c:xMode val="edge"/>
          <c:yMode val="edge"/>
          <c:x val="0.10886815149409407"/>
          <c:y val="0.14746583137901229"/>
          <c:w val="0.89113184850590599"/>
          <c:h val="0.796267443669279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38761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'4_Solver_Escenarios'!$N$95:$N$102</c:f>
              <c:strCache>
                <c:ptCount val="8"/>
                <c:pt idx="0">
                  <c:v>Aceite</c:v>
                </c:pt>
                <c:pt idx="1">
                  <c:v>Cerveza</c:v>
                </c:pt>
                <c:pt idx="2">
                  <c:v>Cerámica</c:v>
                </c:pt>
                <c:pt idx="3">
                  <c:v>Chocolate</c:v>
                </c:pt>
                <c:pt idx="4">
                  <c:v>Jabón</c:v>
                </c:pt>
                <c:pt idx="5">
                  <c:v>Miel</c:v>
                </c:pt>
                <c:pt idx="6">
                  <c:v>Queso</c:v>
                </c:pt>
                <c:pt idx="7">
                  <c:v>Vino</c:v>
                </c:pt>
              </c:strCache>
            </c:strRef>
          </c:cat>
          <c:val>
            <c:numRef>
              <c:f>'4_Solver_Escenarios'!$Q$95:$Q$102</c:f>
              <c:numCache>
                <c:formatCode>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F-5F46-A645-D6EA88C60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2693903"/>
        <c:axId val="1664049983"/>
      </c:barChart>
      <c:catAx>
        <c:axId val="1662693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4049983"/>
        <c:crosses val="autoZero"/>
        <c:auto val="1"/>
        <c:lblAlgn val="ctr"/>
        <c:lblOffset val="100"/>
        <c:noMultiLvlLbl val="0"/>
      </c:catAx>
      <c:valAx>
        <c:axId val="166404998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66269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079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Aprovechamiento logístico por producto – Escenario con restricciones exigentes</a:t>
            </a:r>
            <a:endParaRPr lang="es-ES_tradnl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E7D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0B5-4744-B79B-FF718FF48A43}"/>
              </c:ext>
            </c:extLst>
          </c:dPt>
          <c:dPt>
            <c:idx val="1"/>
            <c:invertIfNegative val="0"/>
            <c:bubble3D val="0"/>
            <c:spPr>
              <a:solidFill>
                <a:srgbClr val="EF6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0B5-4744-B79B-FF718FF48A43}"/>
              </c:ext>
            </c:extLst>
          </c:dPt>
          <c:dPt>
            <c:idx val="2"/>
            <c:invertIfNegative val="0"/>
            <c:bubble3D val="0"/>
            <c:spPr>
              <a:solidFill>
                <a:srgbClr val="EF6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0B5-4744-B79B-FF718FF48A43}"/>
              </c:ext>
            </c:extLst>
          </c:dPt>
          <c:dPt>
            <c:idx val="4"/>
            <c:invertIfNegative val="0"/>
            <c:bubble3D val="0"/>
            <c:spPr>
              <a:solidFill>
                <a:srgbClr val="EF6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0B5-4744-B79B-FF718FF48A43}"/>
              </c:ext>
            </c:extLst>
          </c:dPt>
          <c:dPt>
            <c:idx val="5"/>
            <c:invertIfNegative val="0"/>
            <c:bubble3D val="0"/>
            <c:spPr>
              <a:solidFill>
                <a:srgbClr val="2E7D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0B5-4744-B79B-FF718FF48A43}"/>
              </c:ext>
            </c:extLst>
          </c:dPt>
          <c:dPt>
            <c:idx val="7"/>
            <c:invertIfNegative val="0"/>
            <c:bubble3D val="0"/>
            <c:spPr>
              <a:solidFill>
                <a:srgbClr val="2E7D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0B5-4744-B79B-FF718FF48A43}"/>
              </c:ext>
            </c:extLst>
          </c:dPt>
          <c:dLbls>
            <c:dLbl>
              <c:idx val="3"/>
              <c:spPr>
                <a:solidFill>
                  <a:srgbClr val="C62828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10B5-4744-B79B-FF718FF48A43}"/>
                </c:ext>
              </c:extLst>
            </c:dLbl>
            <c:dLbl>
              <c:idx val="6"/>
              <c:spPr>
                <a:solidFill>
                  <a:srgbClr val="C62828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10B5-4744-B79B-FF718FF48A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'4_Solver_Escenarios'!$N$184:$N$191</c:f>
              <c:strCache>
                <c:ptCount val="8"/>
                <c:pt idx="0">
                  <c:v>Aceite</c:v>
                </c:pt>
                <c:pt idx="1">
                  <c:v>Cerveza</c:v>
                </c:pt>
                <c:pt idx="2">
                  <c:v>Cerámica</c:v>
                </c:pt>
                <c:pt idx="3">
                  <c:v>Chocolate</c:v>
                </c:pt>
                <c:pt idx="4">
                  <c:v>Jabón</c:v>
                </c:pt>
                <c:pt idx="5">
                  <c:v>Miel</c:v>
                </c:pt>
                <c:pt idx="6">
                  <c:v>Queso</c:v>
                </c:pt>
                <c:pt idx="7">
                  <c:v>Vino</c:v>
                </c:pt>
              </c:strCache>
            </c:strRef>
          </c:cat>
          <c:val>
            <c:numRef>
              <c:f>'4_Solver_Escenarios'!$Q$184:$Q$191</c:f>
              <c:numCache>
                <c:formatCode>0.00%</c:formatCode>
                <c:ptCount val="8"/>
                <c:pt idx="0">
                  <c:v>0.8231545406266596</c:v>
                </c:pt>
                <c:pt idx="1">
                  <c:v>0.74130105900151289</c:v>
                </c:pt>
                <c:pt idx="2">
                  <c:v>0.56213017751479288</c:v>
                </c:pt>
                <c:pt idx="3">
                  <c:v>0</c:v>
                </c:pt>
                <c:pt idx="4">
                  <c:v>0.79207920792079212</c:v>
                </c:pt>
                <c:pt idx="5">
                  <c:v>1</c:v>
                </c:pt>
                <c:pt idx="6">
                  <c:v>0</c:v>
                </c:pt>
                <c:pt idx="7">
                  <c:v>0.82178217821782173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7-C443-B34C-27DA15DC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57014032"/>
        <c:axId val="1856530912"/>
      </c:barChart>
      <c:catAx>
        <c:axId val="185701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56530912"/>
        <c:crosses val="autoZero"/>
        <c:auto val="1"/>
        <c:lblAlgn val="ctr"/>
        <c:lblOffset val="100"/>
        <c:noMultiLvlLbl val="0"/>
      </c:catAx>
      <c:valAx>
        <c:axId val="18565309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5701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0795" cap="flat" cmpd="sng" algn="ctr">
      <a:solidFill>
        <a:srgbClr val="000000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594</xdr:colOff>
      <xdr:row>8</xdr:row>
      <xdr:rowOff>0</xdr:rowOff>
    </xdr:from>
    <xdr:to>
      <xdr:col>12</xdr:col>
      <xdr:colOff>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A963F6-1548-CC67-472D-A8DBAA862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4051</xdr:colOff>
      <xdr:row>22</xdr:row>
      <xdr:rowOff>0</xdr:rowOff>
    </xdr:from>
    <xdr:to>
      <xdr:col>12</xdr:col>
      <xdr:colOff>0</xdr:colOff>
      <xdr:row>35</xdr:row>
      <xdr:rowOff>30976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56F4997-6834-DFD0-F4D8-0A588D211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1610733</xdr:colOff>
      <xdr:row>4</xdr:row>
      <xdr:rowOff>61951</xdr:rowOff>
    </xdr:from>
    <xdr:to>
      <xdr:col>13</xdr:col>
      <xdr:colOff>1719146</xdr:colOff>
      <xdr:row>4</xdr:row>
      <xdr:rowOff>154878</xdr:rowOff>
    </xdr:to>
    <xdr:sp macro="" textlink="">
      <xdr:nvSpPr>
        <xdr:cNvPr id="5" name="Combinar 4">
          <a:extLst>
            <a:ext uri="{FF2B5EF4-FFF2-40B4-BE49-F238E27FC236}">
              <a16:creationId xmlns:a16="http://schemas.microsoft.com/office/drawing/2014/main" id="{D9C64BED-5E1D-02C5-7BC8-81B6D86A16D7}"/>
            </a:ext>
          </a:extLst>
        </xdr:cNvPr>
        <xdr:cNvSpPr/>
      </xdr:nvSpPr>
      <xdr:spPr>
        <a:xfrm>
          <a:off x="16866221" y="1022195"/>
          <a:ext cx="108413" cy="92927"/>
        </a:xfrm>
        <a:prstGeom prst="flowChartMerge">
          <a:avLst/>
        </a:prstGeom>
        <a:solidFill>
          <a:srgbClr val="6666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>
            <a:solidFill>
              <a:srgbClr val="666666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-1</xdr:rowOff>
    </xdr:from>
    <xdr:to>
      <xdr:col>8</xdr:col>
      <xdr:colOff>19844</xdr:colOff>
      <xdr:row>33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C27736B-2501-A7D2-0BB5-AD34586E1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17887</xdr:colOff>
      <xdr:row>18</xdr:row>
      <xdr:rowOff>19843</xdr:rowOff>
    </xdr:from>
    <xdr:to>
      <xdr:col>12</xdr:col>
      <xdr:colOff>0</xdr:colOff>
      <xdr:row>33</xdr:row>
      <xdr:rowOff>-1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EACAA8-4ED2-5776-E017-F1E199F88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-1</xdr:colOff>
      <xdr:row>18</xdr:row>
      <xdr:rowOff>22678</xdr:rowOff>
    </xdr:from>
    <xdr:to>
      <xdr:col>17</xdr:col>
      <xdr:colOff>22678</xdr:colOff>
      <xdr:row>36</xdr:row>
      <xdr:rowOff>214085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6D32D6-103A-3835-043B-FF5AB0F86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1277458</xdr:colOff>
      <xdr:row>105</xdr:row>
      <xdr:rowOff>0</xdr:rowOff>
    </xdr:from>
    <xdr:to>
      <xdr:col>17</xdr:col>
      <xdr:colOff>-1</xdr:colOff>
      <xdr:row>125</xdr:row>
      <xdr:rowOff>20159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2465F24-CACC-5766-F03A-F1CDA6992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1288675</xdr:colOff>
      <xdr:row>193</xdr:row>
      <xdr:rowOff>211415</xdr:rowOff>
    </xdr:from>
    <xdr:to>
      <xdr:col>16</xdr:col>
      <xdr:colOff>2241175</xdr:colOff>
      <xdr:row>212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4031BEF-8B73-771A-6BAD-1A86D4101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D1754E6-1DD0-DE43-83B5-5066C2D41DF1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Producto" tableColumnId="2"/>
      <queryTableField id="3" name="País" tableColumnId="3"/>
      <queryTableField id="4" name="Unidades" tableColumnId="4"/>
      <queryTableField id="5" name="Precio Unitar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351ED98-2F7B-4D4F-B597-1C6D302232B4}" autoFormatId="16" applyNumberFormats="0" applyBorderFormats="0" applyFontFormats="0" applyPatternFormats="0" applyAlignmentFormats="0" applyWidthHeightFormats="0">
  <queryTableRefresh nextId="3">
    <queryTableFields count="2">
      <queryTableField id="1" name="Producto" tableColumnId="1"/>
      <queryTableField id="2" name="Paí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4F4122-3DBE-8444-AC83-843D0F626E2C}" name="PQ_Exportaciones2023" displayName="PQ_Exportaciones2023" ref="A1:E151" tableType="queryTable" totalsRowShown="0">
  <autoFilter ref="A1:E151" xr:uid="{F04F4122-3DBE-8444-AC83-843D0F626E2C}"/>
  <tableColumns count="5">
    <tableColumn id="1" xr3:uid="{205B4099-6788-CE43-9D84-F5559EFA5421}" uniqueName="1" name="Fecha" queryTableFieldId="1" dataDxfId="91"/>
    <tableColumn id="2" xr3:uid="{A8DEB497-D134-E64F-B7B1-7FAA7522BDE0}" uniqueName="2" name="Producto" queryTableFieldId="2" dataDxfId="90"/>
    <tableColumn id="3" xr3:uid="{34767B87-3449-A146-A777-BA57FCC47E84}" uniqueName="3" name="País" queryTableFieldId="3" dataDxfId="89"/>
    <tableColumn id="4" xr3:uid="{017CF4A5-1F58-AB44-8F4F-2699CCA8C9D5}" uniqueName="4" name="Unidades" queryTableFieldId="4"/>
    <tableColumn id="5" xr3:uid="{E8C54A78-BC46-B740-8F8E-515474A94EB4}" uniqueName="5" name="Precio Unitari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124947-89EE-1542-AA59-882FE729CC8B}" name="PQ_ProductoPais" displayName="PQ_ProductoPais" ref="A1:B74" tableType="queryTable" totalsRowShown="0">
  <autoFilter ref="A1:B74" xr:uid="{8D124947-89EE-1542-AA59-882FE729CC8B}"/>
  <tableColumns count="2">
    <tableColumn id="1" xr3:uid="{AF3F589B-26B9-3945-B5DA-19FE54379D5F}" uniqueName="1" name="Producto" queryTableFieldId="1" dataDxfId="88"/>
    <tableColumn id="2" xr3:uid="{DE52225D-2408-C44C-9545-14B98DDD0F50}" uniqueName="2" name="País" queryTableFieldId="2" dataDxfId="8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33FC50-4E6D-D24D-AB02-9703ACF095C8}" name="Tbl_Exportaciones2023" displayName="Tbl_Exportaciones2023" ref="A5:F155" totalsRowShown="0" headerRowDxfId="86" dataDxfId="84" headerRowBorderDxfId="85" tableBorderDxfId="83" totalsRowBorderDxfId="82">
  <autoFilter ref="A5:F155" xr:uid="{B233FC50-4E6D-D24D-AB02-9703ACF095C8}"/>
  <tableColumns count="6">
    <tableColumn id="1" xr3:uid="{A1BE911B-C12B-9442-9F3B-97F710EA8E4F}" name="Fecha" dataDxfId="81"/>
    <tableColumn id="2" xr3:uid="{3DC817A8-2819-7543-B201-B7A99BB4731B}" name="Producto" dataDxfId="80"/>
    <tableColumn id="3" xr3:uid="{894DCCF5-0D8F-4C46-9BD0-9370B14E20CA}" name="País" dataDxfId="79"/>
    <tableColumn id="4" xr3:uid="{C117DB84-2462-C34B-BF7E-46B5751C5045}" name="Unidades" dataDxfId="78"/>
    <tableColumn id="5" xr3:uid="{90D0F884-2E0B-0E48-9C64-6005C1583AEE}" name="Precio Unitario" dataDxfId="77"/>
    <tableColumn id="6" xr3:uid="{217A0C3E-51A8-B645-BFBC-8B8AE374BFCC}" name="Total (€)" dataDxfId="76">
      <calculatedColumnFormula>Tbl_Exportaciones2023[[#This Row],[Unidades]]*Tbl_Exportaciones2023[[#This Row],[Precio Unitario]]</calculatedColumnFormula>
    </tableColumn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D423DD-3699-0649-AF01-F8AB918DDFFE}" name="Tbl_Modelo" displayName="Tbl_Modelo" ref="A3:G76" totalsRowShown="0" headerRowDxfId="75" dataDxfId="74" tableBorderDxfId="73">
  <autoFilter ref="A3:G76" xr:uid="{F3D423DD-3699-0649-AF01-F8AB918DDFFE}"/>
  <tableColumns count="7">
    <tableColumn id="1" xr3:uid="{1BDB647A-C4CB-9D41-A852-80DFE7C55ED2}" name="Producto" dataDxfId="72"/>
    <tableColumn id="2" xr3:uid="{20B352DB-EF80-EC42-86C4-2477634DF0A9}" name="País" dataDxfId="71"/>
    <tableColumn id="3" xr3:uid="{44AC392C-59E8-464D-9CD0-D5CE6082F9A2}" name="Total (€)" dataDxfId="70">
      <calculatedColumnFormula>SUMIFS('1_Datos'!F:F,'1_Datos'!B:B,A4,'1_Datos'!C:C,B4)</calculatedColumnFormula>
    </tableColumn>
    <tableColumn id="4" xr3:uid="{AD0492EE-640D-E04F-8D72-AFCED9491CB9}" name="Promedio (€)" dataDxfId="69">
      <calculatedColumnFormula xml:space="preserve"> AVERAGEIFS('1_Datos'!E:E, '1_Datos'!B:B, A4, '1_Datos'!C:C, B4)</calculatedColumnFormula>
    </tableColumn>
    <tableColumn id="5" xr3:uid="{E731236B-5DBE-C748-9CDC-BAB449A3CD78}" name="Etiqueta" dataDxfId="68">
      <calculatedColumnFormula>IF(D4 &gt;= $D$79, "Alto", "Bajo")</calculatedColumnFormula>
    </tableColumn>
    <tableColumn id="6" xr3:uid="{6E0CC166-23D9-0A48-BCE1-9820BF5E865F}" name="Producto - País" dataDxfId="67">
      <calculatedColumnFormula>Tbl_Modelo[[#This Row],[Producto]] &amp; " - " &amp; Tbl_Modelo[[#This Row],[País]]</calculatedColumnFormula>
    </tableColumn>
    <tableColumn id="7" xr3:uid="{9C767A4D-7FB1-6C47-A280-95861F0CEF9A}" name="Clasificación Rentabilidad" dataDxfId="66">
      <calculatedColumnFormula>IF(Tbl_Modelo[[#This Row],[Promedio (€)]]&gt;$D$79,"Alta",IF(ABS(Tbl_Modelo[[#This Row],[Promedio (€)]]-$D$79)&lt;=0.01,"Media","Baja"))</calculatedColumnFormula>
    </tableColumn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4AE415-29E4-8041-96F6-9FFCBDEA78B5}" name="Tbl_Sin_Restricciones" displayName="Tbl_Sin_Restricciones" ref="A7:J80" totalsRowShown="0" headerRowDxfId="65" dataDxfId="64">
  <autoFilter ref="A7:J80" xr:uid="{6D4AE415-29E4-8041-96F6-9FFCBDEA78B5}"/>
  <tableColumns count="10">
    <tableColumn id="1" xr3:uid="{D8632E99-AE06-9A4C-87D0-462B7B3292C5}" name="Producto" dataDxfId="63"/>
    <tableColumn id="2" xr3:uid="{7159F908-6415-6745-867C-CEDE821608A8}" name="País" dataDxfId="62"/>
    <tableColumn id="3" xr3:uid="{2B98D38C-0DE9-CC48-BAD9-89491C74B71B}" name="Precio unitario (€)" dataDxfId="61">
      <calculatedColumnFormula xml:space="preserve"> AVERAGEIFS('1_Datos'!E:E, '1_Datos'!B:B, A8, '1_Datos'!C:C, B8)</calculatedColumnFormula>
    </tableColumn>
    <tableColumn id="4" xr3:uid="{87D02956-0F55-0D4A-9029-8907D351ACAE}" name="Coste unitario (€)" dataDxfId="60">
      <calculatedColumnFormula>0.65*C8</calculatedColumnFormula>
    </tableColumn>
    <tableColumn id="5" xr3:uid="{0340ED03-9695-724F-9F9E-EC4194B49558}" name="Unidades pedidas" dataDxfId="59"/>
    <tableColumn id="6" xr3:uid="{1A2462D3-514F-E24B-8DB5-4D628CC08BAB}" name="Cantidad máxima" dataDxfId="58"/>
    <tableColumn id="7" xr3:uid="{AE5280D1-9CF1-6345-9636-140AAFDE8040}" name="Beneficio unitario (€)" dataDxfId="57">
      <calculatedColumnFormula>Tbl_Sin_Restricciones[[#This Row],[Precio unitario (€)]]-Tbl_Sin_Restricciones[[#This Row],[Coste unitario (€)]]</calculatedColumnFormula>
    </tableColumn>
    <tableColumn id="8" xr3:uid="{79A1EC9B-1F6C-314F-B2FF-E5A426104547}" name="Unidades a exportar" dataDxfId="56"/>
    <tableColumn id="9" xr3:uid="{D8005871-330B-AA4A-A117-35A1C1B8273B}" name="Beneficio total (€)" dataDxfId="55">
      <calculatedColumnFormula>Tbl_Sin_Restricciones[[#This Row],[Beneficio unitario (€)]]*Tbl_Sin_Restricciones[[#This Row],[Unidades pedidas]]</calculatedColumnFormula>
    </tableColumn>
    <tableColumn id="10" xr3:uid="{F598072D-3844-E04F-BB5A-482784825EEA}" name="Beneficio real (€)" dataDxfId="54">
      <calculatedColumnFormula>Tbl_Sin_Restricciones[[#This Row],[Beneficio unitario (€)]] * Tbl_Sin_Restricciones[[#This Row],[Unidades a exportar]]</calculatedColumnFormula>
    </tableColumn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DCB305-D2DB-5E41-911A-7F8E89DF9A0E}" name="Tbl_Restricciones" displayName="Tbl_Restricciones" ref="A94:J167" totalsRowShown="0" headerRowDxfId="53" dataDxfId="51" headerRowBorderDxfId="52" tableBorderDxfId="50" totalsRowBorderDxfId="49">
  <autoFilter ref="A94:J167" xr:uid="{A4DCB305-D2DB-5E41-911A-7F8E89DF9A0E}"/>
  <tableColumns count="10">
    <tableColumn id="1" xr3:uid="{785441EB-6E85-1F4B-B6C1-D2E20558F3D5}" name="Producto" dataDxfId="48"/>
    <tableColumn id="2" xr3:uid="{1FFD991F-8374-B34A-AB63-06B9B022D18B}" name="País" dataDxfId="47"/>
    <tableColumn id="3" xr3:uid="{DB011DF9-999A-174A-A199-40C4E280E6E5}" name="Precio unitario (€)" dataDxfId="46">
      <calculatedColumnFormula xml:space="preserve"> AVERAGEIFS('1_Datos'!E:E, '1_Datos'!B:B, A95, '1_Datos'!C:C, B95)</calculatedColumnFormula>
    </tableColumn>
    <tableColumn id="4" xr3:uid="{F10D1263-9D25-FB49-8BF9-FF2BA128ECE4}" name="Coste unitario (€)" dataDxfId="45">
      <calculatedColumnFormula>0.65*C95</calculatedColumnFormula>
    </tableColumn>
    <tableColumn id="5" xr3:uid="{76FD9A99-585F-7249-9F7F-EB13DD8DF1FE}" name="Unidades pedidas" dataDxfId="44"/>
    <tableColumn id="6" xr3:uid="{62C2E122-5D58-BC48-8D98-771E7D7649F9}" name="Cantidad máxima" dataDxfId="43"/>
    <tableColumn id="7" xr3:uid="{760154D8-F398-AB47-9307-9C10E34A792A}" name="Beneficio unitario (€)" dataDxfId="42">
      <calculatedColumnFormula>Tbl_Restricciones[[#This Row],[Precio unitario (€)]]-Tbl_Restricciones[[#This Row],[Coste unitario (€)]]</calculatedColumnFormula>
    </tableColumn>
    <tableColumn id="8" xr3:uid="{94749DC6-C1D8-2D44-BB06-31691089D14C}" name="Unidades a exportar" dataDxfId="41"/>
    <tableColumn id="9" xr3:uid="{2A8F23C1-9B1E-2749-B6E8-289BD62431D1}" name="Beneficio total (€)" dataDxfId="40">
      <calculatedColumnFormula>Tbl_Restricciones[[#This Row],[Unidades pedidas]]*Tbl_Restricciones[[#This Row],[Beneficio unitario (€)]]</calculatedColumnFormula>
    </tableColumn>
    <tableColumn id="10" xr3:uid="{40F4093B-70D9-3544-81D8-73829074DF29}" name="Beneficio real (€)" dataDxfId="39">
      <calculatedColumnFormula>Tbl_Restricciones[[#This Row],[Beneficio unitario (€)]]*Tbl_Restricciones[[#This Row],[Unidades a exportar]]</calculatedColumnFormula>
    </tableColumn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26D7DF-6E15-8049-AC3D-0A92F3FD81AA}" name="Tbl_RentabilidadesAjustadas" displayName="Tbl_RentabilidadesAjustadas" ref="A183:J256" totalsRowShown="0" headerRowDxfId="38" dataDxfId="36" headerRowBorderDxfId="37" tableBorderDxfId="35">
  <autoFilter ref="A183:J256" xr:uid="{B826D7DF-6E15-8049-AC3D-0A92F3FD81AA}"/>
  <tableColumns count="10">
    <tableColumn id="1" xr3:uid="{5BCB3223-E7C1-9C49-B5CB-24D055F54F91}" name="Producto" dataDxfId="34"/>
    <tableColumn id="2" xr3:uid="{95D8DC53-863F-9642-91D8-CA0A21617381}" name="País" dataDxfId="33"/>
    <tableColumn id="3" xr3:uid="{BFDC0CE0-F78B-D448-AA76-13DB53FFB16D}" name="Precio unitario (€)" dataDxfId="32"/>
    <tableColumn id="4" xr3:uid="{AFBE296A-D889-9941-BE2F-13152C58A72C}" name="Coste unitario (€)" dataDxfId="31"/>
    <tableColumn id="5" xr3:uid="{165AAC50-C85E-824E-A785-FB8619AE5934}" name="Unidades pedidas" dataDxfId="30"/>
    <tableColumn id="6" xr3:uid="{F92CC5B4-3935-0844-8EB6-8E89CFA4D1D9}" name="Cantidad máxima" dataDxfId="29"/>
    <tableColumn id="7" xr3:uid="{8D750D9C-35B1-944D-9070-125AAABA0583}" name="Beneficio unitario (€)" dataDxfId="28">
      <calculatedColumnFormula>Tbl_RentabilidadesAjustadas[[#This Row],[Precio unitario (€)]]-Tbl_RentabilidadesAjustadas[[#This Row],[Coste unitario (€)]]</calculatedColumnFormula>
    </tableColumn>
    <tableColumn id="8" xr3:uid="{F98AAF49-5EE3-BF41-BC73-5CE112DA92B2}" name="Unidades a exportar" dataDxfId="27"/>
    <tableColumn id="9" xr3:uid="{2F65BC14-4BC2-ED49-871A-6A2457DD9D5B}" name="Beneficio total (€)" dataDxfId="26">
      <calculatedColumnFormula>Tbl_RentabilidadesAjustadas[[#This Row],[Unidades pedidas]]*Tbl_RentabilidadesAjustadas[[#This Row],[Beneficio unitario (€)]]</calculatedColumnFormula>
    </tableColumn>
    <tableColumn id="10" xr3:uid="{3E87C647-25C5-1548-B66E-1DA4E3BE4F65}" name="Beneficio real (€)" dataDxfId="25">
      <calculatedColumnFormula>Tbl_RentabilidadesAjustadas[[#This Row],[Beneficio unitario (€)]]*Tbl_RentabilidadesAjustadas[[#This Row],[Unidades a exportar]]</calculatedColumnFormula>
    </tableColumn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5AB9B8A-DAFE-1E47-9E85-5EB98E55D86D}" name="tbl_control_validado" displayName="tbl_control_validado" ref="B5:H15" totalsRowShown="0" headerRowDxfId="24" dataDxfId="22" headerRowBorderDxfId="23" tableBorderDxfId="21" totalsRowBorderDxfId="20">
  <autoFilter ref="B5:H15" xr:uid="{D5AB9B8A-DAFE-1E47-9E85-5EB98E55D86D}"/>
  <tableColumns count="7">
    <tableColumn id="1" xr3:uid="{56FDC0F6-325A-7D4E-9DDC-6C08BADC3DFB}" name="Producto" dataDxfId="19"/>
    <tableColumn id="2" xr3:uid="{1B2F35E9-2F33-7140-9D59-93FE95FC0938}" name="País" dataDxfId="18"/>
    <tableColumn id="3" xr3:uid="{4609D492-E889-EC41-9BD1-E20A42FCDAB6}" name="Unidades" dataDxfId="17"/>
    <tableColumn id="4" xr3:uid="{411EAEEF-1540-8446-A596-B287D947CF83}" name="Precio unitario (€)" dataDxfId="16">
      <calculatedColumnFormula>IFERROR(_xlfn.XLOOKUP(A6,'2_Modelo'!$F:$F,'2_Modelo'!$D:$D,""),"")</calculatedColumnFormula>
    </tableColumn>
    <tableColumn id="5" xr3:uid="{F0001E3E-65ED-4846-9923-223EFDBC2634}" name="Total (€)" dataDxfId="15">
      <calculatedColumnFormula>IF(AND(D6&lt;&gt;"",E6&lt;&gt;""),D6 * E6,"")</calculatedColumnFormula>
    </tableColumn>
    <tableColumn id="6" xr3:uid="{B3BCFC4F-AF87-A849-AC41-4370D74C60EA}" name="Beneficio unitario (€)" dataDxfId="14">
      <calculatedColumnFormula array="1">IF(AND(B6&lt;&gt;"",C6&lt;&gt;""),
    INDEX('4_Solver_Escenarios'!$C$6:$C$90,
           MATCH(1,
                     (B6='4_Solver_Escenarios'!$A$6:$A$90)*
                     (C6='4_Solver_Escenarios'!$B$6:$B$90),
                     0)
    )
    -
    INDEX('4_Solver_Escenarios'!$D$6:$D$100,
           MATCH(1,
                     (B6='4_Solver_Escenarios'!$A$6:$A$90)*
                     (C6='4_Solver_Escenarios'!$B$6:$B$90),
                     0)
    ),
"")</calculatedColumnFormula>
    </tableColumn>
    <tableColumn id="7" xr3:uid="{DB85DB7E-A547-C24A-B1E1-9F510D5B2A75}" name="Rentabilidad esperada" dataDxfId="13">
      <calculatedColumnFormula>IFERROR(_xlfn.XLOOKUP(A6,'2_Modelo'!$F:$F,'2_Modelo'!$G:$G,""),"")</calculatedColumnFormula>
    </tableColumn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Relationship Id="rId4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A060-6BE5-E64D-A49F-3420038DF6E0}">
  <dimension ref="A1:E151"/>
  <sheetViews>
    <sheetView workbookViewId="0">
      <selection activeCell="I25" sqref="I25"/>
    </sheetView>
  </sheetViews>
  <sheetFormatPr baseColWidth="10" defaultRowHeight="16" x14ac:dyDescent="0.2"/>
  <cols>
    <col min="1" max="1" width="8.6640625" bestFit="1" customWidth="1"/>
    <col min="2" max="2" width="11.1640625" bestFit="1" customWidth="1"/>
    <col min="4" max="4" width="11.33203125" bestFit="1" customWidth="1"/>
    <col min="5" max="5" width="15.83203125" bestFit="1" customWidth="1"/>
  </cols>
  <sheetData>
    <row r="1" spans="1:5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</row>
    <row r="2" spans="1:5" x14ac:dyDescent="0.2">
      <c r="A2" s="15">
        <v>45022</v>
      </c>
      <c r="B2" t="s">
        <v>12</v>
      </c>
      <c r="C2" t="s">
        <v>20</v>
      </c>
      <c r="D2">
        <v>241</v>
      </c>
      <c r="E2">
        <v>111.41</v>
      </c>
    </row>
    <row r="3" spans="1:5" x14ac:dyDescent="0.2">
      <c r="A3" s="15">
        <v>45063</v>
      </c>
      <c r="B3" t="s">
        <v>17</v>
      </c>
      <c r="C3" t="s">
        <v>20</v>
      </c>
      <c r="D3">
        <v>208</v>
      </c>
      <c r="E3">
        <v>205.51</v>
      </c>
    </row>
    <row r="4" spans="1:5" x14ac:dyDescent="0.2">
      <c r="A4" s="15">
        <v>45005</v>
      </c>
      <c r="B4" t="s">
        <v>24</v>
      </c>
      <c r="C4" t="s">
        <v>16</v>
      </c>
      <c r="D4">
        <v>249</v>
      </c>
      <c r="E4">
        <v>162.47999999999999</v>
      </c>
    </row>
    <row r="5" spans="1:5" x14ac:dyDescent="0.2">
      <c r="A5" s="15">
        <v>45181</v>
      </c>
      <c r="B5" t="s">
        <v>15</v>
      </c>
      <c r="C5" t="s">
        <v>10</v>
      </c>
      <c r="D5">
        <v>104</v>
      </c>
      <c r="E5">
        <v>68.61</v>
      </c>
    </row>
    <row r="6" spans="1:5" x14ac:dyDescent="0.2">
      <c r="A6" s="15">
        <v>45105</v>
      </c>
      <c r="B6" t="s">
        <v>22</v>
      </c>
      <c r="C6" t="s">
        <v>19</v>
      </c>
      <c r="D6">
        <v>93</v>
      </c>
      <c r="E6">
        <v>55.4</v>
      </c>
    </row>
    <row r="7" spans="1:5" x14ac:dyDescent="0.2">
      <c r="A7" s="15">
        <v>44937</v>
      </c>
      <c r="B7" t="s">
        <v>15</v>
      </c>
      <c r="C7" t="s">
        <v>10</v>
      </c>
      <c r="D7">
        <v>214</v>
      </c>
      <c r="E7">
        <v>180.79</v>
      </c>
    </row>
    <row r="8" spans="1:5" x14ac:dyDescent="0.2">
      <c r="A8" s="15">
        <v>45138</v>
      </c>
      <c r="B8" t="s">
        <v>7</v>
      </c>
      <c r="C8" t="s">
        <v>14</v>
      </c>
      <c r="D8">
        <v>239</v>
      </c>
      <c r="E8">
        <v>86.03</v>
      </c>
    </row>
    <row r="9" spans="1:5" x14ac:dyDescent="0.2">
      <c r="A9" s="15">
        <v>45272</v>
      </c>
      <c r="B9" t="s">
        <v>23</v>
      </c>
      <c r="C9" t="s">
        <v>10</v>
      </c>
      <c r="D9">
        <v>109</v>
      </c>
      <c r="E9">
        <v>162.4</v>
      </c>
    </row>
    <row r="10" spans="1:5" x14ac:dyDescent="0.2">
      <c r="A10" s="15">
        <v>45239</v>
      </c>
      <c r="B10" t="s">
        <v>22</v>
      </c>
      <c r="C10" t="s">
        <v>20</v>
      </c>
      <c r="D10">
        <v>186</v>
      </c>
      <c r="E10">
        <v>127.88</v>
      </c>
    </row>
    <row r="11" spans="1:5" x14ac:dyDescent="0.2">
      <c r="A11" s="15">
        <v>44970</v>
      </c>
      <c r="B11" t="s">
        <v>7</v>
      </c>
      <c r="C11" t="s">
        <v>18</v>
      </c>
      <c r="D11">
        <v>83</v>
      </c>
      <c r="E11">
        <v>186.95</v>
      </c>
    </row>
    <row r="12" spans="1:5" x14ac:dyDescent="0.2">
      <c r="A12" s="15">
        <v>45144</v>
      </c>
      <c r="B12" t="s">
        <v>24</v>
      </c>
      <c r="C12" t="s">
        <v>8</v>
      </c>
      <c r="D12">
        <v>102</v>
      </c>
      <c r="E12">
        <v>100.39</v>
      </c>
    </row>
    <row r="13" spans="1:5" x14ac:dyDescent="0.2">
      <c r="A13" s="15">
        <v>44993</v>
      </c>
      <c r="B13" t="s">
        <v>15</v>
      </c>
      <c r="C13" t="s">
        <v>11</v>
      </c>
      <c r="D13">
        <v>206</v>
      </c>
      <c r="E13">
        <v>66.650000000000006</v>
      </c>
    </row>
    <row r="14" spans="1:5" x14ac:dyDescent="0.2">
      <c r="A14" s="15">
        <v>44928</v>
      </c>
      <c r="B14" t="s">
        <v>12</v>
      </c>
      <c r="C14" t="s">
        <v>10</v>
      </c>
      <c r="D14">
        <v>165</v>
      </c>
      <c r="E14">
        <v>126.78</v>
      </c>
    </row>
    <row r="15" spans="1:5" x14ac:dyDescent="0.2">
      <c r="A15" s="15">
        <v>44973</v>
      </c>
      <c r="B15" t="s">
        <v>17</v>
      </c>
      <c r="C15" t="s">
        <v>10</v>
      </c>
      <c r="D15">
        <v>230</v>
      </c>
      <c r="E15">
        <v>206.77</v>
      </c>
    </row>
    <row r="16" spans="1:5" x14ac:dyDescent="0.2">
      <c r="A16" s="15">
        <v>45210</v>
      </c>
      <c r="B16" t="s">
        <v>12</v>
      </c>
      <c r="C16" t="s">
        <v>10</v>
      </c>
      <c r="D16">
        <v>101</v>
      </c>
      <c r="E16">
        <v>52.59</v>
      </c>
    </row>
    <row r="17" spans="1:5" x14ac:dyDescent="0.2">
      <c r="A17" s="15">
        <v>44979</v>
      </c>
      <c r="B17" t="s">
        <v>15</v>
      </c>
      <c r="C17" t="s">
        <v>18</v>
      </c>
      <c r="D17">
        <v>152</v>
      </c>
      <c r="E17">
        <v>196.16</v>
      </c>
    </row>
    <row r="18" spans="1:5" x14ac:dyDescent="0.2">
      <c r="A18" s="15">
        <v>44955</v>
      </c>
      <c r="B18" t="s">
        <v>7</v>
      </c>
      <c r="C18" t="s">
        <v>14</v>
      </c>
      <c r="D18">
        <v>145</v>
      </c>
      <c r="E18">
        <v>178.63</v>
      </c>
    </row>
    <row r="19" spans="1:5" x14ac:dyDescent="0.2">
      <c r="A19" s="15">
        <v>45096</v>
      </c>
      <c r="B19" t="s">
        <v>9</v>
      </c>
      <c r="C19" t="s">
        <v>11</v>
      </c>
      <c r="D19">
        <v>286</v>
      </c>
      <c r="E19">
        <v>134.18</v>
      </c>
    </row>
    <row r="20" spans="1:5" x14ac:dyDescent="0.2">
      <c r="A20" s="15">
        <v>45202</v>
      </c>
      <c r="B20" t="s">
        <v>17</v>
      </c>
      <c r="C20" t="s">
        <v>14</v>
      </c>
      <c r="D20">
        <v>173</v>
      </c>
      <c r="E20">
        <v>61.59</v>
      </c>
    </row>
    <row r="21" spans="1:5" x14ac:dyDescent="0.2">
      <c r="A21" s="15">
        <v>45275</v>
      </c>
      <c r="B21" t="s">
        <v>23</v>
      </c>
      <c r="C21" t="s">
        <v>11</v>
      </c>
      <c r="D21">
        <v>97</v>
      </c>
      <c r="E21">
        <v>200.42</v>
      </c>
    </row>
    <row r="22" spans="1:5" x14ac:dyDescent="0.2">
      <c r="A22" s="15">
        <v>45259</v>
      </c>
      <c r="B22" t="s">
        <v>12</v>
      </c>
      <c r="C22" t="s">
        <v>16</v>
      </c>
      <c r="D22">
        <v>293</v>
      </c>
      <c r="E22">
        <v>212.07</v>
      </c>
    </row>
    <row r="23" spans="1:5" x14ac:dyDescent="0.2">
      <c r="A23" s="15">
        <v>45072</v>
      </c>
      <c r="B23" t="s">
        <v>23</v>
      </c>
      <c r="C23" t="s">
        <v>14</v>
      </c>
      <c r="D23">
        <v>198</v>
      </c>
      <c r="E23">
        <v>241.77</v>
      </c>
    </row>
    <row r="24" spans="1:5" x14ac:dyDescent="0.2">
      <c r="A24" s="15">
        <v>44946</v>
      </c>
      <c r="B24" t="s">
        <v>9</v>
      </c>
      <c r="C24" t="s">
        <v>20</v>
      </c>
      <c r="D24">
        <v>169</v>
      </c>
      <c r="E24">
        <v>123.43</v>
      </c>
    </row>
    <row r="25" spans="1:5" x14ac:dyDescent="0.2">
      <c r="A25" s="15">
        <v>44985</v>
      </c>
      <c r="B25" t="s">
        <v>7</v>
      </c>
      <c r="C25" t="s">
        <v>11</v>
      </c>
      <c r="D25">
        <v>238</v>
      </c>
      <c r="E25">
        <v>196.41</v>
      </c>
    </row>
    <row r="26" spans="1:5" x14ac:dyDescent="0.2">
      <c r="A26" s="15">
        <v>45275</v>
      </c>
      <c r="B26" t="s">
        <v>22</v>
      </c>
      <c r="C26" t="s">
        <v>13</v>
      </c>
      <c r="D26">
        <v>174</v>
      </c>
      <c r="E26">
        <v>105.93</v>
      </c>
    </row>
    <row r="27" spans="1:5" x14ac:dyDescent="0.2">
      <c r="A27" s="15">
        <v>45037</v>
      </c>
      <c r="B27" t="s">
        <v>15</v>
      </c>
      <c r="C27" t="s">
        <v>11</v>
      </c>
      <c r="D27">
        <v>94</v>
      </c>
      <c r="E27">
        <v>201.26</v>
      </c>
    </row>
    <row r="28" spans="1:5" x14ac:dyDescent="0.2">
      <c r="A28" s="15">
        <v>45174</v>
      </c>
      <c r="B28" t="s">
        <v>22</v>
      </c>
      <c r="C28" t="s">
        <v>16</v>
      </c>
      <c r="D28">
        <v>283</v>
      </c>
      <c r="E28">
        <v>167.76</v>
      </c>
    </row>
    <row r="29" spans="1:5" x14ac:dyDescent="0.2">
      <c r="A29" s="15">
        <v>45112</v>
      </c>
      <c r="B29" t="s">
        <v>7</v>
      </c>
      <c r="C29" t="s">
        <v>13</v>
      </c>
      <c r="D29">
        <v>169</v>
      </c>
      <c r="E29">
        <v>156.87</v>
      </c>
    </row>
    <row r="30" spans="1:5" x14ac:dyDescent="0.2">
      <c r="A30" s="15">
        <v>45128</v>
      </c>
      <c r="B30" t="s">
        <v>7</v>
      </c>
      <c r="C30" t="s">
        <v>11</v>
      </c>
      <c r="D30">
        <v>184</v>
      </c>
      <c r="E30">
        <v>144.72999999999999</v>
      </c>
    </row>
    <row r="31" spans="1:5" x14ac:dyDescent="0.2">
      <c r="A31" s="15">
        <v>45085</v>
      </c>
      <c r="B31" t="s">
        <v>22</v>
      </c>
      <c r="C31" t="s">
        <v>11</v>
      </c>
      <c r="D31">
        <v>158</v>
      </c>
      <c r="E31">
        <v>50.34</v>
      </c>
    </row>
    <row r="32" spans="1:5" x14ac:dyDescent="0.2">
      <c r="A32" s="15">
        <v>45067</v>
      </c>
      <c r="B32" t="s">
        <v>15</v>
      </c>
      <c r="C32" t="s">
        <v>11</v>
      </c>
      <c r="D32">
        <v>284</v>
      </c>
      <c r="E32">
        <v>169.39</v>
      </c>
    </row>
    <row r="33" spans="1:5" x14ac:dyDescent="0.2">
      <c r="A33" s="15">
        <v>44937</v>
      </c>
      <c r="B33" t="s">
        <v>22</v>
      </c>
      <c r="C33" t="s">
        <v>10</v>
      </c>
      <c r="D33">
        <v>241</v>
      </c>
      <c r="E33">
        <v>92.5</v>
      </c>
    </row>
    <row r="34" spans="1:5" x14ac:dyDescent="0.2">
      <c r="A34" s="15">
        <v>45093</v>
      </c>
      <c r="B34" t="s">
        <v>24</v>
      </c>
      <c r="C34" t="s">
        <v>16</v>
      </c>
      <c r="D34">
        <v>296</v>
      </c>
      <c r="E34">
        <v>58.66</v>
      </c>
    </row>
    <row r="35" spans="1:5" x14ac:dyDescent="0.2">
      <c r="A35" s="15">
        <v>45243</v>
      </c>
      <c r="B35" t="s">
        <v>12</v>
      </c>
      <c r="C35" t="s">
        <v>13</v>
      </c>
      <c r="D35">
        <v>259</v>
      </c>
      <c r="E35">
        <v>146.41</v>
      </c>
    </row>
    <row r="36" spans="1:5" x14ac:dyDescent="0.2">
      <c r="A36" s="15">
        <v>45029</v>
      </c>
      <c r="B36" t="s">
        <v>7</v>
      </c>
      <c r="C36" t="s">
        <v>8</v>
      </c>
      <c r="D36">
        <v>250</v>
      </c>
      <c r="E36">
        <v>243.27</v>
      </c>
    </row>
    <row r="37" spans="1:5" x14ac:dyDescent="0.2">
      <c r="A37" s="15">
        <v>45216</v>
      </c>
      <c r="B37" t="s">
        <v>15</v>
      </c>
      <c r="C37" t="s">
        <v>11</v>
      </c>
      <c r="D37">
        <v>162</v>
      </c>
      <c r="E37">
        <v>130.27000000000001</v>
      </c>
    </row>
    <row r="38" spans="1:5" x14ac:dyDescent="0.2">
      <c r="A38" s="15">
        <v>45121</v>
      </c>
      <c r="B38" t="s">
        <v>17</v>
      </c>
      <c r="C38" t="s">
        <v>19</v>
      </c>
      <c r="D38">
        <v>235</v>
      </c>
      <c r="E38">
        <v>216.59</v>
      </c>
    </row>
    <row r="39" spans="1:5" x14ac:dyDescent="0.2">
      <c r="A39" s="15">
        <v>45135</v>
      </c>
      <c r="B39" t="s">
        <v>7</v>
      </c>
      <c r="C39" t="s">
        <v>13</v>
      </c>
      <c r="D39">
        <v>252</v>
      </c>
      <c r="E39">
        <v>151.05000000000001</v>
      </c>
    </row>
    <row r="40" spans="1:5" x14ac:dyDescent="0.2">
      <c r="A40" s="15">
        <v>45265</v>
      </c>
      <c r="B40" t="s">
        <v>7</v>
      </c>
      <c r="C40" t="s">
        <v>21</v>
      </c>
      <c r="D40">
        <v>77</v>
      </c>
      <c r="E40">
        <v>206.42</v>
      </c>
    </row>
    <row r="41" spans="1:5" x14ac:dyDescent="0.2">
      <c r="A41" s="15">
        <v>45264</v>
      </c>
      <c r="B41" t="s">
        <v>15</v>
      </c>
      <c r="C41" t="s">
        <v>19</v>
      </c>
      <c r="D41">
        <v>264</v>
      </c>
      <c r="E41">
        <v>198.62</v>
      </c>
    </row>
    <row r="42" spans="1:5" x14ac:dyDescent="0.2">
      <c r="A42" s="15">
        <v>45092</v>
      </c>
      <c r="B42" t="s">
        <v>9</v>
      </c>
      <c r="C42" t="s">
        <v>19</v>
      </c>
      <c r="D42">
        <v>170</v>
      </c>
      <c r="E42">
        <v>82.95</v>
      </c>
    </row>
    <row r="43" spans="1:5" x14ac:dyDescent="0.2">
      <c r="A43" s="15">
        <v>44975</v>
      </c>
      <c r="B43" t="s">
        <v>9</v>
      </c>
      <c r="C43" t="s">
        <v>21</v>
      </c>
      <c r="D43">
        <v>252</v>
      </c>
      <c r="E43">
        <v>169.77</v>
      </c>
    </row>
    <row r="44" spans="1:5" x14ac:dyDescent="0.2">
      <c r="A44" s="15">
        <v>45051</v>
      </c>
      <c r="B44" t="s">
        <v>24</v>
      </c>
      <c r="C44" t="s">
        <v>8</v>
      </c>
      <c r="D44">
        <v>245</v>
      </c>
      <c r="E44">
        <v>67.459999999999994</v>
      </c>
    </row>
    <row r="45" spans="1:5" x14ac:dyDescent="0.2">
      <c r="A45" s="15">
        <v>44929</v>
      </c>
      <c r="B45" t="s">
        <v>22</v>
      </c>
      <c r="C45" t="s">
        <v>18</v>
      </c>
      <c r="D45">
        <v>278</v>
      </c>
      <c r="E45">
        <v>137.61000000000001</v>
      </c>
    </row>
    <row r="46" spans="1:5" x14ac:dyDescent="0.2">
      <c r="A46" s="15">
        <v>45205</v>
      </c>
      <c r="B46" t="s">
        <v>23</v>
      </c>
      <c r="C46" t="s">
        <v>10</v>
      </c>
      <c r="D46">
        <v>200</v>
      </c>
      <c r="E46">
        <v>137.19999999999999</v>
      </c>
    </row>
    <row r="47" spans="1:5" x14ac:dyDescent="0.2">
      <c r="A47" s="15">
        <v>45200</v>
      </c>
      <c r="B47" t="s">
        <v>24</v>
      </c>
      <c r="C47" t="s">
        <v>18</v>
      </c>
      <c r="D47">
        <v>116</v>
      </c>
      <c r="E47">
        <v>165.2</v>
      </c>
    </row>
    <row r="48" spans="1:5" x14ac:dyDescent="0.2">
      <c r="A48" s="15">
        <v>45083</v>
      </c>
      <c r="B48" t="s">
        <v>15</v>
      </c>
      <c r="C48" t="s">
        <v>19</v>
      </c>
      <c r="D48">
        <v>96</v>
      </c>
      <c r="E48">
        <v>165.22</v>
      </c>
    </row>
    <row r="49" spans="1:5" x14ac:dyDescent="0.2">
      <c r="A49" s="15">
        <v>45034</v>
      </c>
      <c r="B49" t="s">
        <v>17</v>
      </c>
      <c r="C49" t="s">
        <v>21</v>
      </c>
      <c r="D49">
        <v>203</v>
      </c>
      <c r="E49">
        <v>135.41999999999999</v>
      </c>
    </row>
    <row r="50" spans="1:5" x14ac:dyDescent="0.2">
      <c r="A50" s="15">
        <v>45250</v>
      </c>
      <c r="B50" t="s">
        <v>7</v>
      </c>
      <c r="C50" t="s">
        <v>19</v>
      </c>
      <c r="D50">
        <v>191</v>
      </c>
      <c r="E50">
        <v>240.2</v>
      </c>
    </row>
    <row r="51" spans="1:5" x14ac:dyDescent="0.2">
      <c r="A51" s="15">
        <v>45171</v>
      </c>
      <c r="B51" t="s">
        <v>7</v>
      </c>
      <c r="C51" t="s">
        <v>13</v>
      </c>
      <c r="D51">
        <v>80</v>
      </c>
      <c r="E51">
        <v>179.66</v>
      </c>
    </row>
    <row r="52" spans="1:5" x14ac:dyDescent="0.2">
      <c r="A52" s="15">
        <v>45168</v>
      </c>
      <c r="B52" t="s">
        <v>15</v>
      </c>
      <c r="C52" t="s">
        <v>19</v>
      </c>
      <c r="D52">
        <v>197</v>
      </c>
      <c r="E52">
        <v>215.48</v>
      </c>
    </row>
    <row r="53" spans="1:5" x14ac:dyDescent="0.2">
      <c r="A53" s="15">
        <v>44953</v>
      </c>
      <c r="B53" t="s">
        <v>22</v>
      </c>
      <c r="C53" t="s">
        <v>13</v>
      </c>
      <c r="D53">
        <v>68</v>
      </c>
      <c r="E53">
        <v>65.14</v>
      </c>
    </row>
    <row r="54" spans="1:5" x14ac:dyDescent="0.2">
      <c r="A54" s="15">
        <v>44947</v>
      </c>
      <c r="B54" t="s">
        <v>7</v>
      </c>
      <c r="C54" t="s">
        <v>14</v>
      </c>
      <c r="D54">
        <v>74</v>
      </c>
      <c r="E54">
        <v>88.48</v>
      </c>
    </row>
    <row r="55" spans="1:5" x14ac:dyDescent="0.2">
      <c r="A55" s="15">
        <v>45074</v>
      </c>
      <c r="B55" t="s">
        <v>12</v>
      </c>
      <c r="C55" t="s">
        <v>11</v>
      </c>
      <c r="D55">
        <v>75</v>
      </c>
      <c r="E55">
        <v>156.97999999999999</v>
      </c>
    </row>
    <row r="56" spans="1:5" x14ac:dyDescent="0.2">
      <c r="A56" s="15">
        <v>45265</v>
      </c>
      <c r="B56" t="s">
        <v>23</v>
      </c>
      <c r="C56" t="s">
        <v>21</v>
      </c>
      <c r="D56">
        <v>136</v>
      </c>
      <c r="E56">
        <v>219.55</v>
      </c>
    </row>
    <row r="57" spans="1:5" x14ac:dyDescent="0.2">
      <c r="A57" s="15">
        <v>45190</v>
      </c>
      <c r="B57" t="s">
        <v>22</v>
      </c>
      <c r="C57" t="s">
        <v>21</v>
      </c>
      <c r="D57">
        <v>180</v>
      </c>
      <c r="E57">
        <v>58.74</v>
      </c>
    </row>
    <row r="58" spans="1:5" x14ac:dyDescent="0.2">
      <c r="A58" s="15">
        <v>45208</v>
      </c>
      <c r="B58" t="s">
        <v>7</v>
      </c>
      <c r="C58" t="s">
        <v>14</v>
      </c>
      <c r="D58">
        <v>165</v>
      </c>
      <c r="E58">
        <v>224.42</v>
      </c>
    </row>
    <row r="59" spans="1:5" x14ac:dyDescent="0.2">
      <c r="A59" s="15">
        <v>45050</v>
      </c>
      <c r="B59" t="s">
        <v>22</v>
      </c>
      <c r="C59" t="s">
        <v>21</v>
      </c>
      <c r="D59">
        <v>178</v>
      </c>
      <c r="E59">
        <v>100.84</v>
      </c>
    </row>
    <row r="60" spans="1:5" x14ac:dyDescent="0.2">
      <c r="A60" s="15">
        <v>45183</v>
      </c>
      <c r="B60" t="s">
        <v>23</v>
      </c>
      <c r="C60" t="s">
        <v>8</v>
      </c>
      <c r="D60">
        <v>230</v>
      </c>
      <c r="E60">
        <v>181.72</v>
      </c>
    </row>
    <row r="61" spans="1:5" x14ac:dyDescent="0.2">
      <c r="A61" s="15">
        <v>45129</v>
      </c>
      <c r="B61" t="s">
        <v>15</v>
      </c>
      <c r="C61" t="s">
        <v>20</v>
      </c>
      <c r="D61">
        <v>69</v>
      </c>
      <c r="E61">
        <v>169.75</v>
      </c>
    </row>
    <row r="62" spans="1:5" x14ac:dyDescent="0.2">
      <c r="A62" s="15">
        <v>45239</v>
      </c>
      <c r="B62" t="s">
        <v>22</v>
      </c>
      <c r="C62" t="s">
        <v>19</v>
      </c>
      <c r="D62">
        <v>166</v>
      </c>
      <c r="E62">
        <v>183.56</v>
      </c>
    </row>
    <row r="63" spans="1:5" x14ac:dyDescent="0.2">
      <c r="A63" s="15">
        <v>45217</v>
      </c>
      <c r="B63" t="s">
        <v>23</v>
      </c>
      <c r="C63" t="s">
        <v>20</v>
      </c>
      <c r="D63">
        <v>254</v>
      </c>
      <c r="E63">
        <v>212.38</v>
      </c>
    </row>
    <row r="64" spans="1:5" x14ac:dyDescent="0.2">
      <c r="A64" s="15">
        <v>44996</v>
      </c>
      <c r="B64" t="s">
        <v>15</v>
      </c>
      <c r="C64" t="s">
        <v>21</v>
      </c>
      <c r="D64">
        <v>266</v>
      </c>
      <c r="E64">
        <v>182.14</v>
      </c>
    </row>
    <row r="65" spans="1:5" x14ac:dyDescent="0.2">
      <c r="A65" s="15">
        <v>45017</v>
      </c>
      <c r="B65" t="s">
        <v>9</v>
      </c>
      <c r="C65" t="s">
        <v>16</v>
      </c>
      <c r="D65">
        <v>187</v>
      </c>
      <c r="E65">
        <v>240.66</v>
      </c>
    </row>
    <row r="66" spans="1:5" x14ac:dyDescent="0.2">
      <c r="A66" s="15">
        <v>45218</v>
      </c>
      <c r="B66" t="s">
        <v>9</v>
      </c>
      <c r="C66" t="s">
        <v>10</v>
      </c>
      <c r="D66">
        <v>212</v>
      </c>
      <c r="E66">
        <v>69.45</v>
      </c>
    </row>
    <row r="67" spans="1:5" x14ac:dyDescent="0.2">
      <c r="A67" s="15">
        <v>45291</v>
      </c>
      <c r="B67" t="s">
        <v>15</v>
      </c>
      <c r="C67" t="s">
        <v>10</v>
      </c>
      <c r="D67">
        <v>173</v>
      </c>
      <c r="E67">
        <v>243.24</v>
      </c>
    </row>
    <row r="68" spans="1:5" x14ac:dyDescent="0.2">
      <c r="A68" s="15">
        <v>45012</v>
      </c>
      <c r="B68" t="s">
        <v>22</v>
      </c>
      <c r="C68" t="s">
        <v>11</v>
      </c>
      <c r="D68">
        <v>61</v>
      </c>
      <c r="E68">
        <v>81.38</v>
      </c>
    </row>
    <row r="69" spans="1:5" x14ac:dyDescent="0.2">
      <c r="A69" s="15">
        <v>45283</v>
      </c>
      <c r="B69" t="s">
        <v>24</v>
      </c>
      <c r="C69" t="s">
        <v>16</v>
      </c>
      <c r="D69">
        <v>86</v>
      </c>
      <c r="E69">
        <v>113.16</v>
      </c>
    </row>
    <row r="70" spans="1:5" x14ac:dyDescent="0.2">
      <c r="A70" s="15">
        <v>45103</v>
      </c>
      <c r="B70" t="s">
        <v>7</v>
      </c>
      <c r="C70" t="s">
        <v>10</v>
      </c>
      <c r="D70">
        <v>87</v>
      </c>
      <c r="E70">
        <v>198.42</v>
      </c>
    </row>
    <row r="71" spans="1:5" x14ac:dyDescent="0.2">
      <c r="A71" s="15">
        <v>45133</v>
      </c>
      <c r="B71" t="s">
        <v>9</v>
      </c>
      <c r="C71" t="s">
        <v>14</v>
      </c>
      <c r="D71">
        <v>248</v>
      </c>
      <c r="E71">
        <v>82.87</v>
      </c>
    </row>
    <row r="72" spans="1:5" x14ac:dyDescent="0.2">
      <c r="A72" s="15">
        <v>45269</v>
      </c>
      <c r="B72" t="s">
        <v>17</v>
      </c>
      <c r="C72" t="s">
        <v>16</v>
      </c>
      <c r="D72">
        <v>121</v>
      </c>
      <c r="E72">
        <v>80.97</v>
      </c>
    </row>
    <row r="73" spans="1:5" x14ac:dyDescent="0.2">
      <c r="A73" s="15">
        <v>45110</v>
      </c>
      <c r="B73" t="s">
        <v>12</v>
      </c>
      <c r="C73" t="s">
        <v>14</v>
      </c>
      <c r="D73">
        <v>180</v>
      </c>
      <c r="E73">
        <v>123.43</v>
      </c>
    </row>
    <row r="74" spans="1:5" x14ac:dyDescent="0.2">
      <c r="A74" s="15">
        <v>45065</v>
      </c>
      <c r="B74" t="s">
        <v>15</v>
      </c>
      <c r="C74" t="s">
        <v>13</v>
      </c>
      <c r="D74">
        <v>146</v>
      </c>
      <c r="E74">
        <v>130.30000000000001</v>
      </c>
    </row>
    <row r="75" spans="1:5" x14ac:dyDescent="0.2">
      <c r="A75" s="15">
        <v>44993</v>
      </c>
      <c r="B75" t="s">
        <v>24</v>
      </c>
      <c r="C75" t="s">
        <v>16</v>
      </c>
      <c r="D75">
        <v>203</v>
      </c>
      <c r="E75">
        <v>109.23</v>
      </c>
    </row>
    <row r="76" spans="1:5" x14ac:dyDescent="0.2">
      <c r="A76" s="15">
        <v>45033</v>
      </c>
      <c r="B76" t="s">
        <v>17</v>
      </c>
      <c r="C76" t="s">
        <v>19</v>
      </c>
      <c r="D76">
        <v>158</v>
      </c>
      <c r="E76">
        <v>240.16</v>
      </c>
    </row>
    <row r="77" spans="1:5" x14ac:dyDescent="0.2">
      <c r="A77" s="15">
        <v>45008</v>
      </c>
      <c r="B77" t="s">
        <v>9</v>
      </c>
      <c r="C77" t="s">
        <v>11</v>
      </c>
      <c r="D77">
        <v>84</v>
      </c>
      <c r="E77">
        <v>168.54</v>
      </c>
    </row>
    <row r="78" spans="1:5" x14ac:dyDescent="0.2">
      <c r="A78" s="15">
        <v>45188</v>
      </c>
      <c r="B78" t="s">
        <v>17</v>
      </c>
      <c r="C78" t="s">
        <v>18</v>
      </c>
      <c r="D78">
        <v>188</v>
      </c>
      <c r="E78">
        <v>138.07</v>
      </c>
    </row>
    <row r="79" spans="1:5" x14ac:dyDescent="0.2">
      <c r="A79" s="15">
        <v>45079</v>
      </c>
      <c r="B79" t="s">
        <v>12</v>
      </c>
      <c r="C79" t="s">
        <v>20</v>
      </c>
      <c r="D79">
        <v>174</v>
      </c>
      <c r="E79">
        <v>150.84</v>
      </c>
    </row>
    <row r="80" spans="1:5" x14ac:dyDescent="0.2">
      <c r="A80" s="15">
        <v>45216</v>
      </c>
      <c r="B80" t="s">
        <v>7</v>
      </c>
      <c r="C80" t="s">
        <v>11</v>
      </c>
      <c r="D80">
        <v>132</v>
      </c>
      <c r="E80">
        <v>241.45</v>
      </c>
    </row>
    <row r="81" spans="1:5" x14ac:dyDescent="0.2">
      <c r="A81" s="15">
        <v>44991</v>
      </c>
      <c r="B81" t="s">
        <v>9</v>
      </c>
      <c r="C81" t="s">
        <v>14</v>
      </c>
      <c r="D81">
        <v>204</v>
      </c>
      <c r="E81">
        <v>192.44</v>
      </c>
    </row>
    <row r="82" spans="1:5" x14ac:dyDescent="0.2">
      <c r="A82" s="15">
        <v>45090</v>
      </c>
      <c r="B82" t="s">
        <v>23</v>
      </c>
      <c r="C82" t="s">
        <v>13</v>
      </c>
      <c r="D82">
        <v>208</v>
      </c>
      <c r="E82">
        <v>134.88</v>
      </c>
    </row>
    <row r="83" spans="1:5" x14ac:dyDescent="0.2">
      <c r="A83" s="15">
        <v>45079</v>
      </c>
      <c r="B83" t="s">
        <v>7</v>
      </c>
      <c r="C83" t="s">
        <v>19</v>
      </c>
      <c r="D83">
        <v>254</v>
      </c>
      <c r="E83">
        <v>170.38</v>
      </c>
    </row>
    <row r="84" spans="1:5" x14ac:dyDescent="0.2">
      <c r="A84" s="15">
        <v>45200</v>
      </c>
      <c r="B84" t="s">
        <v>22</v>
      </c>
      <c r="C84" t="s">
        <v>10</v>
      </c>
      <c r="D84">
        <v>118</v>
      </c>
      <c r="E84">
        <v>83.64</v>
      </c>
    </row>
    <row r="85" spans="1:5" x14ac:dyDescent="0.2">
      <c r="A85" s="15">
        <v>45160</v>
      </c>
      <c r="B85" t="s">
        <v>9</v>
      </c>
      <c r="C85" t="s">
        <v>18</v>
      </c>
      <c r="D85">
        <v>76</v>
      </c>
      <c r="E85">
        <v>98.05</v>
      </c>
    </row>
    <row r="86" spans="1:5" x14ac:dyDescent="0.2">
      <c r="A86" s="15">
        <v>44995</v>
      </c>
      <c r="B86" t="s">
        <v>9</v>
      </c>
      <c r="C86" t="s">
        <v>16</v>
      </c>
      <c r="D86">
        <v>102</v>
      </c>
      <c r="E86">
        <v>233.51</v>
      </c>
    </row>
    <row r="87" spans="1:5" x14ac:dyDescent="0.2">
      <c r="A87" s="15">
        <v>45179</v>
      </c>
      <c r="B87" t="s">
        <v>9</v>
      </c>
      <c r="C87" t="s">
        <v>14</v>
      </c>
      <c r="D87">
        <v>253</v>
      </c>
      <c r="E87">
        <v>188.17</v>
      </c>
    </row>
    <row r="88" spans="1:5" x14ac:dyDescent="0.2">
      <c r="A88" s="15">
        <v>44981</v>
      </c>
      <c r="B88" t="s">
        <v>17</v>
      </c>
      <c r="C88" t="s">
        <v>21</v>
      </c>
      <c r="D88">
        <v>152</v>
      </c>
      <c r="E88">
        <v>50.88</v>
      </c>
    </row>
    <row r="89" spans="1:5" x14ac:dyDescent="0.2">
      <c r="A89" s="15">
        <v>45257</v>
      </c>
      <c r="B89" t="s">
        <v>22</v>
      </c>
      <c r="C89" t="s">
        <v>16</v>
      </c>
      <c r="D89">
        <v>295</v>
      </c>
      <c r="E89">
        <v>79.400000000000006</v>
      </c>
    </row>
    <row r="90" spans="1:5" x14ac:dyDescent="0.2">
      <c r="A90" s="15">
        <v>45136</v>
      </c>
      <c r="B90" t="s">
        <v>17</v>
      </c>
      <c r="C90" t="s">
        <v>19</v>
      </c>
      <c r="D90">
        <v>98</v>
      </c>
      <c r="E90">
        <v>220.77</v>
      </c>
    </row>
    <row r="91" spans="1:5" x14ac:dyDescent="0.2">
      <c r="A91" s="15">
        <v>45288</v>
      </c>
      <c r="B91" t="s">
        <v>23</v>
      </c>
      <c r="C91" t="s">
        <v>18</v>
      </c>
      <c r="D91">
        <v>246</v>
      </c>
      <c r="E91">
        <v>173.15</v>
      </c>
    </row>
    <row r="92" spans="1:5" x14ac:dyDescent="0.2">
      <c r="A92" s="15">
        <v>45070</v>
      </c>
      <c r="B92" t="s">
        <v>23</v>
      </c>
      <c r="C92" t="s">
        <v>11</v>
      </c>
      <c r="D92">
        <v>79</v>
      </c>
      <c r="E92">
        <v>70.599999999999994</v>
      </c>
    </row>
    <row r="93" spans="1:5" x14ac:dyDescent="0.2">
      <c r="A93" s="15">
        <v>45134</v>
      </c>
      <c r="B93" t="s">
        <v>24</v>
      </c>
      <c r="C93" t="s">
        <v>8</v>
      </c>
      <c r="D93">
        <v>119</v>
      </c>
      <c r="E93">
        <v>170.39</v>
      </c>
    </row>
    <row r="94" spans="1:5" x14ac:dyDescent="0.2">
      <c r="A94" s="15">
        <v>44953</v>
      </c>
      <c r="B94" t="s">
        <v>24</v>
      </c>
      <c r="C94" t="s">
        <v>19</v>
      </c>
      <c r="D94">
        <v>101</v>
      </c>
      <c r="E94">
        <v>116.01</v>
      </c>
    </row>
    <row r="95" spans="1:5" x14ac:dyDescent="0.2">
      <c r="A95" s="15">
        <v>45165</v>
      </c>
      <c r="B95" t="s">
        <v>12</v>
      </c>
      <c r="C95" t="s">
        <v>8</v>
      </c>
      <c r="D95">
        <v>260</v>
      </c>
      <c r="E95">
        <v>98.76</v>
      </c>
    </row>
    <row r="96" spans="1:5" x14ac:dyDescent="0.2">
      <c r="A96" s="15">
        <v>45005</v>
      </c>
      <c r="B96" t="s">
        <v>22</v>
      </c>
      <c r="C96" t="s">
        <v>21</v>
      </c>
      <c r="D96">
        <v>159</v>
      </c>
      <c r="E96">
        <v>151.69</v>
      </c>
    </row>
    <row r="97" spans="1:5" x14ac:dyDescent="0.2">
      <c r="A97" s="15">
        <v>45289</v>
      </c>
      <c r="B97" t="s">
        <v>9</v>
      </c>
      <c r="C97" t="s">
        <v>13</v>
      </c>
      <c r="D97">
        <v>224</v>
      </c>
      <c r="E97">
        <v>57.61</v>
      </c>
    </row>
    <row r="98" spans="1:5" x14ac:dyDescent="0.2">
      <c r="A98" s="15">
        <v>45175</v>
      </c>
      <c r="B98" t="s">
        <v>15</v>
      </c>
      <c r="C98" t="s">
        <v>8</v>
      </c>
      <c r="D98">
        <v>217</v>
      </c>
      <c r="E98">
        <v>89.07</v>
      </c>
    </row>
    <row r="99" spans="1:5" x14ac:dyDescent="0.2">
      <c r="A99" s="15">
        <v>45000</v>
      </c>
      <c r="B99" t="s">
        <v>24</v>
      </c>
      <c r="C99" t="s">
        <v>8</v>
      </c>
      <c r="D99">
        <v>195</v>
      </c>
      <c r="E99">
        <v>71.56</v>
      </c>
    </row>
    <row r="100" spans="1:5" x14ac:dyDescent="0.2">
      <c r="A100" s="15">
        <v>45011</v>
      </c>
      <c r="B100" t="s">
        <v>23</v>
      </c>
      <c r="C100" t="s">
        <v>13</v>
      </c>
      <c r="D100">
        <v>177</v>
      </c>
      <c r="E100">
        <v>176.58</v>
      </c>
    </row>
    <row r="101" spans="1:5" x14ac:dyDescent="0.2">
      <c r="A101" s="15">
        <v>45016</v>
      </c>
      <c r="B101" t="s">
        <v>7</v>
      </c>
      <c r="C101" t="s">
        <v>14</v>
      </c>
      <c r="D101">
        <v>300</v>
      </c>
      <c r="E101">
        <v>206.47</v>
      </c>
    </row>
    <row r="102" spans="1:5" x14ac:dyDescent="0.2">
      <c r="A102" s="15">
        <v>45241</v>
      </c>
      <c r="B102" t="s">
        <v>12</v>
      </c>
      <c r="C102" t="s">
        <v>18</v>
      </c>
      <c r="D102">
        <v>61</v>
      </c>
      <c r="E102">
        <v>144.41999999999999</v>
      </c>
    </row>
    <row r="103" spans="1:5" x14ac:dyDescent="0.2">
      <c r="A103" s="15">
        <v>45166</v>
      </c>
      <c r="B103" t="s">
        <v>12</v>
      </c>
      <c r="C103" t="s">
        <v>18</v>
      </c>
      <c r="D103">
        <v>161</v>
      </c>
      <c r="E103">
        <v>194.17</v>
      </c>
    </row>
    <row r="104" spans="1:5" x14ac:dyDescent="0.2">
      <c r="A104" s="15">
        <v>44971</v>
      </c>
      <c r="B104" t="s">
        <v>17</v>
      </c>
      <c r="C104" t="s">
        <v>21</v>
      </c>
      <c r="D104">
        <v>191</v>
      </c>
      <c r="E104">
        <v>183.88</v>
      </c>
    </row>
    <row r="105" spans="1:5" x14ac:dyDescent="0.2">
      <c r="A105" s="15">
        <v>44977</v>
      </c>
      <c r="B105" t="s">
        <v>7</v>
      </c>
      <c r="C105" t="s">
        <v>20</v>
      </c>
      <c r="D105">
        <v>181</v>
      </c>
      <c r="E105">
        <v>73.77</v>
      </c>
    </row>
    <row r="106" spans="1:5" x14ac:dyDescent="0.2">
      <c r="A106" s="15">
        <v>45181</v>
      </c>
      <c r="B106" t="s">
        <v>15</v>
      </c>
      <c r="C106" t="s">
        <v>11</v>
      </c>
      <c r="D106">
        <v>258</v>
      </c>
      <c r="E106">
        <v>119.34</v>
      </c>
    </row>
    <row r="107" spans="1:5" x14ac:dyDescent="0.2">
      <c r="A107" s="15">
        <v>45168</v>
      </c>
      <c r="B107" t="s">
        <v>15</v>
      </c>
      <c r="C107" t="s">
        <v>14</v>
      </c>
      <c r="D107">
        <v>152</v>
      </c>
      <c r="E107">
        <v>151.53</v>
      </c>
    </row>
    <row r="108" spans="1:5" x14ac:dyDescent="0.2">
      <c r="A108" s="15">
        <v>45257</v>
      </c>
      <c r="B108" t="s">
        <v>12</v>
      </c>
      <c r="C108" t="s">
        <v>16</v>
      </c>
      <c r="D108">
        <v>256</v>
      </c>
      <c r="E108">
        <v>104.44</v>
      </c>
    </row>
    <row r="109" spans="1:5" x14ac:dyDescent="0.2">
      <c r="A109" s="15">
        <v>45277</v>
      </c>
      <c r="B109" t="s">
        <v>9</v>
      </c>
      <c r="C109" t="s">
        <v>21</v>
      </c>
      <c r="D109">
        <v>274</v>
      </c>
      <c r="E109">
        <v>146.12</v>
      </c>
    </row>
    <row r="110" spans="1:5" x14ac:dyDescent="0.2">
      <c r="A110" s="15">
        <v>45132</v>
      </c>
      <c r="B110" t="s">
        <v>9</v>
      </c>
      <c r="C110" t="s">
        <v>8</v>
      </c>
      <c r="D110">
        <v>224</v>
      </c>
      <c r="E110">
        <v>247.7</v>
      </c>
    </row>
    <row r="111" spans="1:5" x14ac:dyDescent="0.2">
      <c r="A111" s="15">
        <v>45177</v>
      </c>
      <c r="B111" t="s">
        <v>7</v>
      </c>
      <c r="C111" t="s">
        <v>14</v>
      </c>
      <c r="D111">
        <v>273</v>
      </c>
      <c r="E111">
        <v>94.81</v>
      </c>
    </row>
    <row r="112" spans="1:5" x14ac:dyDescent="0.2">
      <c r="A112" s="15">
        <v>45227</v>
      </c>
      <c r="B112" t="s">
        <v>7</v>
      </c>
      <c r="C112" t="s">
        <v>19</v>
      </c>
      <c r="D112">
        <v>141</v>
      </c>
      <c r="E112">
        <v>54.7</v>
      </c>
    </row>
    <row r="113" spans="1:5" x14ac:dyDescent="0.2">
      <c r="A113" s="15">
        <v>45124</v>
      </c>
      <c r="B113" t="s">
        <v>24</v>
      </c>
      <c r="C113" t="s">
        <v>18</v>
      </c>
      <c r="D113">
        <v>61</v>
      </c>
      <c r="E113">
        <v>170.62</v>
      </c>
    </row>
    <row r="114" spans="1:5" x14ac:dyDescent="0.2">
      <c r="A114" s="15">
        <v>45051</v>
      </c>
      <c r="B114" t="s">
        <v>24</v>
      </c>
      <c r="C114" t="s">
        <v>20</v>
      </c>
      <c r="D114">
        <v>101</v>
      </c>
      <c r="E114">
        <v>213.27</v>
      </c>
    </row>
    <row r="115" spans="1:5" x14ac:dyDescent="0.2">
      <c r="A115" s="15">
        <v>45217</v>
      </c>
      <c r="B115" t="s">
        <v>17</v>
      </c>
      <c r="C115" t="s">
        <v>21</v>
      </c>
      <c r="D115">
        <v>240</v>
      </c>
      <c r="E115">
        <v>105.43</v>
      </c>
    </row>
    <row r="116" spans="1:5" x14ac:dyDescent="0.2">
      <c r="A116" s="15">
        <v>45030</v>
      </c>
      <c r="B116" t="s">
        <v>7</v>
      </c>
      <c r="C116" t="s">
        <v>16</v>
      </c>
      <c r="D116">
        <v>218</v>
      </c>
      <c r="E116">
        <v>106.71</v>
      </c>
    </row>
    <row r="117" spans="1:5" x14ac:dyDescent="0.2">
      <c r="A117" s="15">
        <v>44993</v>
      </c>
      <c r="B117" t="s">
        <v>17</v>
      </c>
      <c r="C117" t="s">
        <v>8</v>
      </c>
      <c r="D117">
        <v>130</v>
      </c>
      <c r="E117">
        <v>177.05</v>
      </c>
    </row>
    <row r="118" spans="1:5" x14ac:dyDescent="0.2">
      <c r="A118" s="15">
        <v>45156</v>
      </c>
      <c r="B118" t="s">
        <v>15</v>
      </c>
      <c r="C118" t="s">
        <v>14</v>
      </c>
      <c r="D118">
        <v>190</v>
      </c>
      <c r="E118">
        <v>100.33</v>
      </c>
    </row>
    <row r="119" spans="1:5" x14ac:dyDescent="0.2">
      <c r="A119" s="15">
        <v>45018</v>
      </c>
      <c r="B119" t="s">
        <v>17</v>
      </c>
      <c r="C119" t="s">
        <v>8</v>
      </c>
      <c r="D119">
        <v>286</v>
      </c>
      <c r="E119">
        <v>91.4</v>
      </c>
    </row>
    <row r="120" spans="1:5" x14ac:dyDescent="0.2">
      <c r="A120" s="15">
        <v>45009</v>
      </c>
      <c r="B120" t="s">
        <v>15</v>
      </c>
      <c r="C120" t="s">
        <v>18</v>
      </c>
      <c r="D120">
        <v>153</v>
      </c>
      <c r="E120">
        <v>109.06</v>
      </c>
    </row>
    <row r="121" spans="1:5" x14ac:dyDescent="0.2">
      <c r="A121" s="15">
        <v>45192</v>
      </c>
      <c r="B121" t="s">
        <v>12</v>
      </c>
      <c r="C121" t="s">
        <v>21</v>
      </c>
      <c r="D121">
        <v>160</v>
      </c>
      <c r="E121">
        <v>223.69</v>
      </c>
    </row>
    <row r="122" spans="1:5" x14ac:dyDescent="0.2">
      <c r="A122" s="15">
        <v>45270</v>
      </c>
      <c r="B122" t="s">
        <v>12</v>
      </c>
      <c r="C122" t="s">
        <v>18</v>
      </c>
      <c r="D122">
        <v>66</v>
      </c>
      <c r="E122">
        <v>116.92</v>
      </c>
    </row>
    <row r="123" spans="1:5" x14ac:dyDescent="0.2">
      <c r="A123" s="15">
        <v>45056</v>
      </c>
      <c r="B123" t="s">
        <v>24</v>
      </c>
      <c r="C123" t="s">
        <v>18</v>
      </c>
      <c r="D123">
        <v>227</v>
      </c>
      <c r="E123">
        <v>55.05</v>
      </c>
    </row>
    <row r="124" spans="1:5" x14ac:dyDescent="0.2">
      <c r="A124" s="15">
        <v>45286</v>
      </c>
      <c r="B124" t="s">
        <v>22</v>
      </c>
      <c r="C124" t="s">
        <v>14</v>
      </c>
      <c r="D124">
        <v>189</v>
      </c>
      <c r="E124">
        <v>142.97999999999999</v>
      </c>
    </row>
    <row r="125" spans="1:5" x14ac:dyDescent="0.2">
      <c r="A125" s="15">
        <v>45103</v>
      </c>
      <c r="B125" t="s">
        <v>17</v>
      </c>
      <c r="C125" t="s">
        <v>16</v>
      </c>
      <c r="D125">
        <v>207</v>
      </c>
      <c r="E125">
        <v>59.38</v>
      </c>
    </row>
    <row r="126" spans="1:5" x14ac:dyDescent="0.2">
      <c r="A126" s="15">
        <v>45065</v>
      </c>
      <c r="B126" t="s">
        <v>23</v>
      </c>
      <c r="C126" t="s">
        <v>18</v>
      </c>
      <c r="D126">
        <v>241</v>
      </c>
      <c r="E126">
        <v>114.22</v>
      </c>
    </row>
    <row r="127" spans="1:5" x14ac:dyDescent="0.2">
      <c r="A127" s="15">
        <v>45286</v>
      </c>
      <c r="B127" t="s">
        <v>17</v>
      </c>
      <c r="C127" t="s">
        <v>14</v>
      </c>
      <c r="D127">
        <v>257</v>
      </c>
      <c r="E127">
        <v>95.25</v>
      </c>
    </row>
    <row r="128" spans="1:5" x14ac:dyDescent="0.2">
      <c r="A128" s="15">
        <v>45100</v>
      </c>
      <c r="B128" t="s">
        <v>23</v>
      </c>
      <c r="C128" t="s">
        <v>14</v>
      </c>
      <c r="D128">
        <v>136</v>
      </c>
      <c r="E128">
        <v>115.51</v>
      </c>
    </row>
    <row r="129" spans="1:5" x14ac:dyDescent="0.2">
      <c r="A129" s="15">
        <v>44933</v>
      </c>
      <c r="B129" t="s">
        <v>7</v>
      </c>
      <c r="C129" t="s">
        <v>10</v>
      </c>
      <c r="D129">
        <v>90</v>
      </c>
      <c r="E129">
        <v>122.77</v>
      </c>
    </row>
    <row r="130" spans="1:5" x14ac:dyDescent="0.2">
      <c r="A130" s="15">
        <v>45286</v>
      </c>
      <c r="B130" t="s">
        <v>7</v>
      </c>
      <c r="C130" t="s">
        <v>21</v>
      </c>
      <c r="D130">
        <v>109</v>
      </c>
      <c r="E130">
        <v>216.14</v>
      </c>
    </row>
    <row r="131" spans="1:5" x14ac:dyDescent="0.2">
      <c r="A131" s="15">
        <v>45097</v>
      </c>
      <c r="B131" t="s">
        <v>12</v>
      </c>
      <c r="C131" t="s">
        <v>16</v>
      </c>
      <c r="D131">
        <v>132</v>
      </c>
      <c r="E131">
        <v>148.03</v>
      </c>
    </row>
    <row r="132" spans="1:5" x14ac:dyDescent="0.2">
      <c r="A132" s="15">
        <v>45159</v>
      </c>
      <c r="B132" t="s">
        <v>22</v>
      </c>
      <c r="C132" t="s">
        <v>19</v>
      </c>
      <c r="D132">
        <v>93</v>
      </c>
      <c r="E132">
        <v>177.32</v>
      </c>
    </row>
    <row r="133" spans="1:5" x14ac:dyDescent="0.2">
      <c r="A133" s="15">
        <v>45267</v>
      </c>
      <c r="B133" t="s">
        <v>24</v>
      </c>
      <c r="C133" t="s">
        <v>10</v>
      </c>
      <c r="D133">
        <v>169</v>
      </c>
      <c r="E133">
        <v>125.08</v>
      </c>
    </row>
    <row r="134" spans="1:5" x14ac:dyDescent="0.2">
      <c r="A134" s="15">
        <v>44971</v>
      </c>
      <c r="B134" t="s">
        <v>15</v>
      </c>
      <c r="C134" t="s">
        <v>10</v>
      </c>
      <c r="D134">
        <v>262</v>
      </c>
      <c r="E134">
        <v>92.61</v>
      </c>
    </row>
    <row r="135" spans="1:5" x14ac:dyDescent="0.2">
      <c r="A135" s="15">
        <v>45258</v>
      </c>
      <c r="B135" t="s">
        <v>9</v>
      </c>
      <c r="C135" t="s">
        <v>10</v>
      </c>
      <c r="D135">
        <v>229</v>
      </c>
      <c r="E135">
        <v>245.58</v>
      </c>
    </row>
    <row r="136" spans="1:5" x14ac:dyDescent="0.2">
      <c r="A136" s="15">
        <v>44933</v>
      </c>
      <c r="B136" t="s">
        <v>17</v>
      </c>
      <c r="C136" t="s">
        <v>18</v>
      </c>
      <c r="D136">
        <v>65</v>
      </c>
      <c r="E136">
        <v>135.1</v>
      </c>
    </row>
    <row r="137" spans="1:5" x14ac:dyDescent="0.2">
      <c r="A137" s="15">
        <v>45252</v>
      </c>
      <c r="B137" t="s">
        <v>15</v>
      </c>
      <c r="C137" t="s">
        <v>8</v>
      </c>
      <c r="D137">
        <v>52</v>
      </c>
      <c r="E137">
        <v>212.97</v>
      </c>
    </row>
    <row r="138" spans="1:5" x14ac:dyDescent="0.2">
      <c r="A138" s="15">
        <v>44978</v>
      </c>
      <c r="B138" t="s">
        <v>17</v>
      </c>
      <c r="C138" t="s">
        <v>10</v>
      </c>
      <c r="D138">
        <v>298</v>
      </c>
      <c r="E138">
        <v>113.91</v>
      </c>
    </row>
    <row r="139" spans="1:5" x14ac:dyDescent="0.2">
      <c r="A139" s="15">
        <v>45034</v>
      </c>
      <c r="B139" t="s">
        <v>12</v>
      </c>
      <c r="C139" t="s">
        <v>13</v>
      </c>
      <c r="D139">
        <v>179</v>
      </c>
      <c r="E139">
        <v>239.37</v>
      </c>
    </row>
    <row r="140" spans="1:5" x14ac:dyDescent="0.2">
      <c r="A140" s="15">
        <v>44999</v>
      </c>
      <c r="B140" t="s">
        <v>15</v>
      </c>
      <c r="C140" t="s">
        <v>13</v>
      </c>
      <c r="D140">
        <v>186</v>
      </c>
      <c r="E140">
        <v>120.05</v>
      </c>
    </row>
    <row r="141" spans="1:5" x14ac:dyDescent="0.2">
      <c r="A141" s="15">
        <v>45288</v>
      </c>
      <c r="B141" t="s">
        <v>12</v>
      </c>
      <c r="C141" t="s">
        <v>16</v>
      </c>
      <c r="D141">
        <v>270</v>
      </c>
      <c r="E141">
        <v>163.91</v>
      </c>
    </row>
    <row r="142" spans="1:5" x14ac:dyDescent="0.2">
      <c r="A142" s="15">
        <v>45061</v>
      </c>
      <c r="B142" t="s">
        <v>17</v>
      </c>
      <c r="C142" t="s">
        <v>20</v>
      </c>
      <c r="D142">
        <v>279</v>
      </c>
      <c r="E142">
        <v>237.6</v>
      </c>
    </row>
    <row r="143" spans="1:5" x14ac:dyDescent="0.2">
      <c r="A143" s="15">
        <v>45196</v>
      </c>
      <c r="B143" t="s">
        <v>17</v>
      </c>
      <c r="C143" t="s">
        <v>18</v>
      </c>
      <c r="D143">
        <v>128</v>
      </c>
      <c r="E143">
        <v>178.25</v>
      </c>
    </row>
    <row r="144" spans="1:5" x14ac:dyDescent="0.2">
      <c r="A144" s="15">
        <v>45254</v>
      </c>
      <c r="B144" t="s">
        <v>12</v>
      </c>
      <c r="C144" t="s">
        <v>8</v>
      </c>
      <c r="D144">
        <v>253</v>
      </c>
      <c r="E144">
        <v>69.64</v>
      </c>
    </row>
    <row r="145" spans="1:5" x14ac:dyDescent="0.2">
      <c r="A145" s="15">
        <v>45186</v>
      </c>
      <c r="B145" t="s">
        <v>17</v>
      </c>
      <c r="C145" t="s">
        <v>13</v>
      </c>
      <c r="D145">
        <v>153</v>
      </c>
      <c r="E145">
        <v>90.79</v>
      </c>
    </row>
    <row r="146" spans="1:5" x14ac:dyDescent="0.2">
      <c r="A146" s="15">
        <v>45056</v>
      </c>
      <c r="B146" t="s">
        <v>15</v>
      </c>
      <c r="C146" t="s">
        <v>16</v>
      </c>
      <c r="D146">
        <v>149</v>
      </c>
      <c r="E146">
        <v>162.63</v>
      </c>
    </row>
    <row r="147" spans="1:5" x14ac:dyDescent="0.2">
      <c r="A147" s="15">
        <v>45268</v>
      </c>
      <c r="B147" t="s">
        <v>12</v>
      </c>
      <c r="C147" t="s">
        <v>11</v>
      </c>
      <c r="D147">
        <v>152</v>
      </c>
      <c r="E147">
        <v>88.82</v>
      </c>
    </row>
    <row r="148" spans="1:5" x14ac:dyDescent="0.2">
      <c r="A148" s="15">
        <v>45061</v>
      </c>
      <c r="B148" t="s">
        <v>12</v>
      </c>
      <c r="C148" t="s">
        <v>19</v>
      </c>
      <c r="D148">
        <v>113</v>
      </c>
      <c r="E148">
        <v>128.12</v>
      </c>
    </row>
    <row r="149" spans="1:5" x14ac:dyDescent="0.2">
      <c r="A149" s="15">
        <v>45016</v>
      </c>
      <c r="B149" t="s">
        <v>23</v>
      </c>
      <c r="C149" t="s">
        <v>16</v>
      </c>
      <c r="D149">
        <v>278</v>
      </c>
      <c r="E149">
        <v>204.75</v>
      </c>
    </row>
    <row r="150" spans="1:5" x14ac:dyDescent="0.2">
      <c r="A150" s="15">
        <v>45027</v>
      </c>
      <c r="B150" t="s">
        <v>23</v>
      </c>
      <c r="C150" t="s">
        <v>14</v>
      </c>
      <c r="D150">
        <v>172</v>
      </c>
      <c r="E150">
        <v>50.37</v>
      </c>
    </row>
    <row r="151" spans="1:5" x14ac:dyDescent="0.2">
      <c r="A151" s="15">
        <v>45160</v>
      </c>
      <c r="B151" t="s">
        <v>24</v>
      </c>
      <c r="C151" t="s">
        <v>8</v>
      </c>
      <c r="D151">
        <v>276</v>
      </c>
      <c r="E151">
        <v>130.53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AB4B-35F8-B443-949F-8417C57769DF}">
  <dimension ref="A1:B74"/>
  <sheetViews>
    <sheetView topLeftCell="A58" workbookViewId="0">
      <selection activeCell="B74" sqref="A1:B74"/>
    </sheetView>
  </sheetViews>
  <sheetFormatPr baseColWidth="10" defaultRowHeight="16" x14ac:dyDescent="0.2"/>
  <cols>
    <col min="1" max="1" width="11.1640625" bestFit="1" customWidth="1"/>
  </cols>
  <sheetData>
    <row r="1" spans="1:2" x14ac:dyDescent="0.2">
      <c r="A1" t="s">
        <v>3</v>
      </c>
      <c r="B1" t="s">
        <v>4</v>
      </c>
    </row>
    <row r="2" spans="1:2" x14ac:dyDescent="0.2">
      <c r="A2" t="s">
        <v>12</v>
      </c>
      <c r="B2" t="s">
        <v>10</v>
      </c>
    </row>
    <row r="3" spans="1:2" x14ac:dyDescent="0.2">
      <c r="A3" t="s">
        <v>12</v>
      </c>
      <c r="B3" t="s">
        <v>18</v>
      </c>
    </row>
    <row r="4" spans="1:2" x14ac:dyDescent="0.2">
      <c r="A4" t="s">
        <v>12</v>
      </c>
      <c r="B4" t="s">
        <v>20</v>
      </c>
    </row>
    <row r="5" spans="1:2" x14ac:dyDescent="0.2">
      <c r="A5" t="s">
        <v>12</v>
      </c>
      <c r="B5" t="s">
        <v>13</v>
      </c>
    </row>
    <row r="6" spans="1:2" x14ac:dyDescent="0.2">
      <c r="A6" t="s">
        <v>12</v>
      </c>
      <c r="B6" t="s">
        <v>16</v>
      </c>
    </row>
    <row r="7" spans="1:2" x14ac:dyDescent="0.2">
      <c r="A7" t="s">
        <v>12</v>
      </c>
      <c r="B7" t="s">
        <v>8</v>
      </c>
    </row>
    <row r="8" spans="1:2" x14ac:dyDescent="0.2">
      <c r="A8" t="s">
        <v>12</v>
      </c>
      <c r="B8" t="s">
        <v>14</v>
      </c>
    </row>
    <row r="9" spans="1:2" x14ac:dyDescent="0.2">
      <c r="A9" t="s">
        <v>12</v>
      </c>
      <c r="B9" t="s">
        <v>19</v>
      </c>
    </row>
    <row r="10" spans="1:2" x14ac:dyDescent="0.2">
      <c r="A10" t="s">
        <v>12</v>
      </c>
      <c r="B10" t="s">
        <v>21</v>
      </c>
    </row>
    <row r="11" spans="1:2" x14ac:dyDescent="0.2">
      <c r="A11" t="s">
        <v>12</v>
      </c>
      <c r="B11" t="s">
        <v>11</v>
      </c>
    </row>
    <row r="12" spans="1:2" x14ac:dyDescent="0.2">
      <c r="A12" t="s">
        <v>7</v>
      </c>
      <c r="B12" t="s">
        <v>10</v>
      </c>
    </row>
    <row r="13" spans="1:2" x14ac:dyDescent="0.2">
      <c r="A13" t="s">
        <v>7</v>
      </c>
      <c r="B13" t="s">
        <v>18</v>
      </c>
    </row>
    <row r="14" spans="1:2" x14ac:dyDescent="0.2">
      <c r="A14" t="s">
        <v>7</v>
      </c>
      <c r="B14" t="s">
        <v>20</v>
      </c>
    </row>
    <row r="15" spans="1:2" x14ac:dyDescent="0.2">
      <c r="A15" t="s">
        <v>7</v>
      </c>
      <c r="B15" t="s">
        <v>13</v>
      </c>
    </row>
    <row r="16" spans="1:2" x14ac:dyDescent="0.2">
      <c r="A16" t="s">
        <v>7</v>
      </c>
      <c r="B16" t="s">
        <v>16</v>
      </c>
    </row>
    <row r="17" spans="1:2" x14ac:dyDescent="0.2">
      <c r="A17" t="s">
        <v>7</v>
      </c>
      <c r="B17" t="s">
        <v>8</v>
      </c>
    </row>
    <row r="18" spans="1:2" x14ac:dyDescent="0.2">
      <c r="A18" t="s">
        <v>7</v>
      </c>
      <c r="B18" t="s">
        <v>14</v>
      </c>
    </row>
    <row r="19" spans="1:2" x14ac:dyDescent="0.2">
      <c r="A19" t="s">
        <v>7</v>
      </c>
      <c r="B19" t="s">
        <v>19</v>
      </c>
    </row>
    <row r="20" spans="1:2" x14ac:dyDescent="0.2">
      <c r="A20" t="s">
        <v>7</v>
      </c>
      <c r="B20" t="s">
        <v>21</v>
      </c>
    </row>
    <row r="21" spans="1:2" x14ac:dyDescent="0.2">
      <c r="A21" t="s">
        <v>7</v>
      </c>
      <c r="B21" t="s">
        <v>11</v>
      </c>
    </row>
    <row r="22" spans="1:2" x14ac:dyDescent="0.2">
      <c r="A22" t="s">
        <v>17</v>
      </c>
      <c r="B22" t="s">
        <v>10</v>
      </c>
    </row>
    <row r="23" spans="1:2" x14ac:dyDescent="0.2">
      <c r="A23" t="s">
        <v>17</v>
      </c>
      <c r="B23" t="s">
        <v>18</v>
      </c>
    </row>
    <row r="24" spans="1:2" x14ac:dyDescent="0.2">
      <c r="A24" t="s">
        <v>17</v>
      </c>
      <c r="B24" t="s">
        <v>20</v>
      </c>
    </row>
    <row r="25" spans="1:2" x14ac:dyDescent="0.2">
      <c r="A25" t="s">
        <v>17</v>
      </c>
      <c r="B25" t="s">
        <v>13</v>
      </c>
    </row>
    <row r="26" spans="1:2" x14ac:dyDescent="0.2">
      <c r="A26" t="s">
        <v>17</v>
      </c>
      <c r="B26" t="s">
        <v>16</v>
      </c>
    </row>
    <row r="27" spans="1:2" x14ac:dyDescent="0.2">
      <c r="A27" t="s">
        <v>17</v>
      </c>
      <c r="B27" t="s">
        <v>8</v>
      </c>
    </row>
    <row r="28" spans="1:2" x14ac:dyDescent="0.2">
      <c r="A28" t="s">
        <v>17</v>
      </c>
      <c r="B28" t="s">
        <v>14</v>
      </c>
    </row>
    <row r="29" spans="1:2" x14ac:dyDescent="0.2">
      <c r="A29" t="s">
        <v>17</v>
      </c>
      <c r="B29" t="s">
        <v>19</v>
      </c>
    </row>
    <row r="30" spans="1:2" x14ac:dyDescent="0.2">
      <c r="A30" t="s">
        <v>17</v>
      </c>
      <c r="B30" t="s">
        <v>21</v>
      </c>
    </row>
    <row r="31" spans="1:2" x14ac:dyDescent="0.2">
      <c r="A31" t="s">
        <v>24</v>
      </c>
      <c r="B31" t="s">
        <v>10</v>
      </c>
    </row>
    <row r="32" spans="1:2" x14ac:dyDescent="0.2">
      <c r="A32" t="s">
        <v>24</v>
      </c>
      <c r="B32" t="s">
        <v>18</v>
      </c>
    </row>
    <row r="33" spans="1:2" x14ac:dyDescent="0.2">
      <c r="A33" t="s">
        <v>24</v>
      </c>
      <c r="B33" t="s">
        <v>20</v>
      </c>
    </row>
    <row r="34" spans="1:2" x14ac:dyDescent="0.2">
      <c r="A34" t="s">
        <v>24</v>
      </c>
      <c r="B34" t="s">
        <v>16</v>
      </c>
    </row>
    <row r="35" spans="1:2" x14ac:dyDescent="0.2">
      <c r="A35" t="s">
        <v>24</v>
      </c>
      <c r="B35" t="s">
        <v>8</v>
      </c>
    </row>
    <row r="36" spans="1:2" x14ac:dyDescent="0.2">
      <c r="A36" t="s">
        <v>24</v>
      </c>
      <c r="B36" t="s">
        <v>19</v>
      </c>
    </row>
    <row r="37" spans="1:2" x14ac:dyDescent="0.2">
      <c r="A37" t="s">
        <v>15</v>
      </c>
      <c r="B37" t="s">
        <v>10</v>
      </c>
    </row>
    <row r="38" spans="1:2" x14ac:dyDescent="0.2">
      <c r="A38" t="s">
        <v>15</v>
      </c>
      <c r="B38" t="s">
        <v>18</v>
      </c>
    </row>
    <row r="39" spans="1:2" x14ac:dyDescent="0.2">
      <c r="A39" t="s">
        <v>15</v>
      </c>
      <c r="B39" t="s">
        <v>20</v>
      </c>
    </row>
    <row r="40" spans="1:2" x14ac:dyDescent="0.2">
      <c r="A40" t="s">
        <v>15</v>
      </c>
      <c r="B40" t="s">
        <v>13</v>
      </c>
    </row>
    <row r="41" spans="1:2" x14ac:dyDescent="0.2">
      <c r="A41" t="s">
        <v>15</v>
      </c>
      <c r="B41" t="s">
        <v>16</v>
      </c>
    </row>
    <row r="42" spans="1:2" x14ac:dyDescent="0.2">
      <c r="A42" t="s">
        <v>15</v>
      </c>
      <c r="B42" t="s">
        <v>8</v>
      </c>
    </row>
    <row r="43" spans="1:2" x14ac:dyDescent="0.2">
      <c r="A43" t="s">
        <v>15</v>
      </c>
      <c r="B43" t="s">
        <v>14</v>
      </c>
    </row>
    <row r="44" spans="1:2" x14ac:dyDescent="0.2">
      <c r="A44" t="s">
        <v>15</v>
      </c>
      <c r="B44" t="s">
        <v>19</v>
      </c>
    </row>
    <row r="45" spans="1:2" x14ac:dyDescent="0.2">
      <c r="A45" t="s">
        <v>15</v>
      </c>
      <c r="B45" t="s">
        <v>21</v>
      </c>
    </row>
    <row r="46" spans="1:2" x14ac:dyDescent="0.2">
      <c r="A46" t="s">
        <v>15</v>
      </c>
      <c r="B46" t="s">
        <v>11</v>
      </c>
    </row>
    <row r="47" spans="1:2" x14ac:dyDescent="0.2">
      <c r="A47" t="s">
        <v>9</v>
      </c>
      <c r="B47" t="s">
        <v>10</v>
      </c>
    </row>
    <row r="48" spans="1:2" x14ac:dyDescent="0.2">
      <c r="A48" t="s">
        <v>9</v>
      </c>
      <c r="B48" t="s">
        <v>18</v>
      </c>
    </row>
    <row r="49" spans="1:2" x14ac:dyDescent="0.2">
      <c r="A49" t="s">
        <v>9</v>
      </c>
      <c r="B49" t="s">
        <v>20</v>
      </c>
    </row>
    <row r="50" spans="1:2" x14ac:dyDescent="0.2">
      <c r="A50" t="s">
        <v>9</v>
      </c>
      <c r="B50" t="s">
        <v>13</v>
      </c>
    </row>
    <row r="51" spans="1:2" x14ac:dyDescent="0.2">
      <c r="A51" t="s">
        <v>9</v>
      </c>
      <c r="B51" t="s">
        <v>16</v>
      </c>
    </row>
    <row r="52" spans="1:2" x14ac:dyDescent="0.2">
      <c r="A52" t="s">
        <v>9</v>
      </c>
      <c r="B52" t="s">
        <v>8</v>
      </c>
    </row>
    <row r="53" spans="1:2" x14ac:dyDescent="0.2">
      <c r="A53" t="s">
        <v>9</v>
      </c>
      <c r="B53" t="s">
        <v>14</v>
      </c>
    </row>
    <row r="54" spans="1:2" x14ac:dyDescent="0.2">
      <c r="A54" t="s">
        <v>9</v>
      </c>
      <c r="B54" t="s">
        <v>19</v>
      </c>
    </row>
    <row r="55" spans="1:2" x14ac:dyDescent="0.2">
      <c r="A55" t="s">
        <v>9</v>
      </c>
      <c r="B55" t="s">
        <v>21</v>
      </c>
    </row>
    <row r="56" spans="1:2" x14ac:dyDescent="0.2">
      <c r="A56" t="s">
        <v>9</v>
      </c>
      <c r="B56" t="s">
        <v>11</v>
      </c>
    </row>
    <row r="57" spans="1:2" x14ac:dyDescent="0.2">
      <c r="A57" t="s">
        <v>22</v>
      </c>
      <c r="B57" t="s">
        <v>10</v>
      </c>
    </row>
    <row r="58" spans="1:2" x14ac:dyDescent="0.2">
      <c r="A58" t="s">
        <v>22</v>
      </c>
      <c r="B58" t="s">
        <v>18</v>
      </c>
    </row>
    <row r="59" spans="1:2" x14ac:dyDescent="0.2">
      <c r="A59" t="s">
        <v>22</v>
      </c>
      <c r="B59" t="s">
        <v>20</v>
      </c>
    </row>
    <row r="60" spans="1:2" x14ac:dyDescent="0.2">
      <c r="A60" t="s">
        <v>22</v>
      </c>
      <c r="B60" t="s">
        <v>13</v>
      </c>
    </row>
    <row r="61" spans="1:2" x14ac:dyDescent="0.2">
      <c r="A61" t="s">
        <v>22</v>
      </c>
      <c r="B61" t="s">
        <v>16</v>
      </c>
    </row>
    <row r="62" spans="1:2" x14ac:dyDescent="0.2">
      <c r="A62" t="s">
        <v>22</v>
      </c>
      <c r="B62" t="s">
        <v>14</v>
      </c>
    </row>
    <row r="63" spans="1:2" x14ac:dyDescent="0.2">
      <c r="A63" t="s">
        <v>22</v>
      </c>
      <c r="B63" t="s">
        <v>19</v>
      </c>
    </row>
    <row r="64" spans="1:2" x14ac:dyDescent="0.2">
      <c r="A64" t="s">
        <v>22</v>
      </c>
      <c r="B64" t="s">
        <v>21</v>
      </c>
    </row>
    <row r="65" spans="1:2" x14ac:dyDescent="0.2">
      <c r="A65" t="s">
        <v>22</v>
      </c>
      <c r="B65" t="s">
        <v>11</v>
      </c>
    </row>
    <row r="66" spans="1:2" x14ac:dyDescent="0.2">
      <c r="A66" t="s">
        <v>23</v>
      </c>
      <c r="B66" t="s">
        <v>10</v>
      </c>
    </row>
    <row r="67" spans="1:2" x14ac:dyDescent="0.2">
      <c r="A67" t="s">
        <v>23</v>
      </c>
      <c r="B67" t="s">
        <v>18</v>
      </c>
    </row>
    <row r="68" spans="1:2" x14ac:dyDescent="0.2">
      <c r="A68" t="s">
        <v>23</v>
      </c>
      <c r="B68" t="s">
        <v>20</v>
      </c>
    </row>
    <row r="69" spans="1:2" x14ac:dyDescent="0.2">
      <c r="A69" t="s">
        <v>23</v>
      </c>
      <c r="B69" t="s">
        <v>13</v>
      </c>
    </row>
    <row r="70" spans="1:2" x14ac:dyDescent="0.2">
      <c r="A70" t="s">
        <v>23</v>
      </c>
      <c r="B70" t="s">
        <v>16</v>
      </c>
    </row>
    <row r="71" spans="1:2" x14ac:dyDescent="0.2">
      <c r="A71" t="s">
        <v>23</v>
      </c>
      <c r="B71" t="s">
        <v>8</v>
      </c>
    </row>
    <row r="72" spans="1:2" x14ac:dyDescent="0.2">
      <c r="A72" t="s">
        <v>23</v>
      </c>
      <c r="B72" t="s">
        <v>14</v>
      </c>
    </row>
    <row r="73" spans="1:2" x14ac:dyDescent="0.2">
      <c r="A73" t="s">
        <v>23</v>
      </c>
      <c r="B73" t="s">
        <v>21</v>
      </c>
    </row>
    <row r="74" spans="1:2" x14ac:dyDescent="0.2">
      <c r="A74" t="s">
        <v>23</v>
      </c>
      <c r="B74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45300-26DE-4742-836C-705C7BDC20E3}">
  <dimension ref="A1:I155"/>
  <sheetViews>
    <sheetView workbookViewId="0">
      <selection activeCell="I10" sqref="I10"/>
    </sheetView>
  </sheetViews>
  <sheetFormatPr baseColWidth="10" defaultRowHeight="16" x14ac:dyDescent="0.2"/>
  <cols>
    <col min="1" max="1" width="17.1640625" customWidth="1"/>
    <col min="2" max="2" width="15.6640625" customWidth="1"/>
    <col min="3" max="3" width="14.5" customWidth="1"/>
    <col min="4" max="4" width="14.33203125" customWidth="1"/>
    <col min="5" max="5" width="16" customWidth="1"/>
    <col min="6" max="6" width="13" customWidth="1"/>
  </cols>
  <sheetData>
    <row r="1" spans="1:9" ht="23" x14ac:dyDescent="0.3">
      <c r="A1" s="185" t="s">
        <v>0</v>
      </c>
      <c r="B1" s="185"/>
      <c r="C1" s="185"/>
      <c r="D1" s="185"/>
      <c r="E1" s="185"/>
    </row>
    <row r="2" spans="1:9" ht="17" x14ac:dyDescent="0.25">
      <c r="A2" s="1"/>
    </row>
    <row r="3" spans="1:9" ht="17" x14ac:dyDescent="0.25">
      <c r="A3" s="186" t="s">
        <v>1</v>
      </c>
      <c r="B3" s="186"/>
      <c r="C3" s="186"/>
      <c r="D3" s="186"/>
      <c r="E3" s="186"/>
      <c r="F3" s="3"/>
    </row>
    <row r="5" spans="1:9" x14ac:dyDescent="0.2">
      <c r="A5" s="5" t="s">
        <v>2</v>
      </c>
      <c r="B5" s="4" t="s">
        <v>3</v>
      </c>
      <c r="C5" s="4" t="s">
        <v>4</v>
      </c>
      <c r="D5" s="4" t="s">
        <v>5</v>
      </c>
      <c r="E5" s="6" t="s">
        <v>6</v>
      </c>
      <c r="F5" s="17" t="s">
        <v>148</v>
      </c>
    </row>
    <row r="6" spans="1:9" ht="17" x14ac:dyDescent="0.25">
      <c r="A6" s="7" t="s">
        <v>25</v>
      </c>
      <c r="B6" s="8" t="s">
        <v>12</v>
      </c>
      <c r="C6" s="8" t="s">
        <v>20</v>
      </c>
      <c r="D6" s="9">
        <v>241</v>
      </c>
      <c r="E6" s="10">
        <v>111.41</v>
      </c>
      <c r="F6" s="18">
        <f>Tbl_Exportaciones2023[[#This Row],[Unidades]]*Tbl_Exportaciones2023[[#This Row],[Precio Unitario]]</f>
        <v>26849.809999999998</v>
      </c>
    </row>
    <row r="7" spans="1:9" ht="17" x14ac:dyDescent="0.25">
      <c r="A7" s="7" t="s">
        <v>26</v>
      </c>
      <c r="B7" s="8" t="s">
        <v>17</v>
      </c>
      <c r="C7" s="8" t="s">
        <v>20</v>
      </c>
      <c r="D7" s="9">
        <v>208</v>
      </c>
      <c r="E7" s="10">
        <v>205.51</v>
      </c>
      <c r="F7" s="19">
        <f>Tbl_Exportaciones2023[[#This Row],[Unidades]]*Tbl_Exportaciones2023[[#This Row],[Precio Unitario]]</f>
        <v>42746.080000000002</v>
      </c>
    </row>
    <row r="8" spans="1:9" ht="17" x14ac:dyDescent="0.25">
      <c r="A8" s="7" t="s">
        <v>27</v>
      </c>
      <c r="B8" s="8" t="s">
        <v>24</v>
      </c>
      <c r="C8" s="8" t="s">
        <v>16</v>
      </c>
      <c r="D8" s="9">
        <v>249</v>
      </c>
      <c r="E8" s="10">
        <v>162.47999999999999</v>
      </c>
      <c r="F8" s="19">
        <f>Tbl_Exportaciones2023[[#This Row],[Unidades]]*Tbl_Exportaciones2023[[#This Row],[Precio Unitario]]</f>
        <v>40457.519999999997</v>
      </c>
      <c r="I8" s="2"/>
    </row>
    <row r="9" spans="1:9" ht="17" x14ac:dyDescent="0.25">
      <c r="A9" s="7" t="s">
        <v>28</v>
      </c>
      <c r="B9" s="8" t="s">
        <v>15</v>
      </c>
      <c r="C9" s="8" t="s">
        <v>10</v>
      </c>
      <c r="D9" s="9">
        <v>104</v>
      </c>
      <c r="E9" s="10">
        <v>68.61</v>
      </c>
      <c r="F9" s="19">
        <f>Tbl_Exportaciones2023[[#This Row],[Unidades]]*Tbl_Exportaciones2023[[#This Row],[Precio Unitario]]</f>
        <v>7135.44</v>
      </c>
    </row>
    <row r="10" spans="1:9" ht="17" x14ac:dyDescent="0.25">
      <c r="A10" s="7" t="s">
        <v>29</v>
      </c>
      <c r="B10" s="8" t="s">
        <v>22</v>
      </c>
      <c r="C10" s="8" t="s">
        <v>19</v>
      </c>
      <c r="D10" s="9">
        <v>93</v>
      </c>
      <c r="E10" s="10">
        <v>55.4</v>
      </c>
      <c r="F10" s="19">
        <f>Tbl_Exportaciones2023[[#This Row],[Unidades]]*Tbl_Exportaciones2023[[#This Row],[Precio Unitario]]</f>
        <v>5152.2</v>
      </c>
    </row>
    <row r="11" spans="1:9" ht="17" x14ac:dyDescent="0.25">
      <c r="A11" s="7" t="s">
        <v>30</v>
      </c>
      <c r="B11" s="8" t="s">
        <v>15</v>
      </c>
      <c r="C11" s="8" t="s">
        <v>10</v>
      </c>
      <c r="D11" s="9">
        <v>214</v>
      </c>
      <c r="E11" s="10">
        <v>180.79</v>
      </c>
      <c r="F11" s="19">
        <f>Tbl_Exportaciones2023[[#This Row],[Unidades]]*Tbl_Exportaciones2023[[#This Row],[Precio Unitario]]</f>
        <v>38689.06</v>
      </c>
    </row>
    <row r="12" spans="1:9" ht="17" x14ac:dyDescent="0.25">
      <c r="A12" s="7" t="s">
        <v>31</v>
      </c>
      <c r="B12" s="8" t="s">
        <v>7</v>
      </c>
      <c r="C12" s="8" t="s">
        <v>14</v>
      </c>
      <c r="D12" s="9">
        <v>239</v>
      </c>
      <c r="E12" s="10">
        <v>86.03</v>
      </c>
      <c r="F12" s="19">
        <f>Tbl_Exportaciones2023[[#This Row],[Unidades]]*Tbl_Exportaciones2023[[#This Row],[Precio Unitario]]</f>
        <v>20561.170000000002</v>
      </c>
    </row>
    <row r="13" spans="1:9" ht="17" x14ac:dyDescent="0.25">
      <c r="A13" s="7" t="s">
        <v>32</v>
      </c>
      <c r="B13" s="8" t="s">
        <v>23</v>
      </c>
      <c r="C13" s="8" t="s">
        <v>10</v>
      </c>
      <c r="D13" s="9">
        <v>109</v>
      </c>
      <c r="E13" s="10">
        <v>162.4</v>
      </c>
      <c r="F13" s="19">
        <f>Tbl_Exportaciones2023[[#This Row],[Unidades]]*Tbl_Exportaciones2023[[#This Row],[Precio Unitario]]</f>
        <v>17701.600000000002</v>
      </c>
    </row>
    <row r="14" spans="1:9" ht="17" x14ac:dyDescent="0.25">
      <c r="A14" s="7" t="s">
        <v>33</v>
      </c>
      <c r="B14" s="8" t="s">
        <v>22</v>
      </c>
      <c r="C14" s="8" t="s">
        <v>20</v>
      </c>
      <c r="D14" s="9">
        <v>186</v>
      </c>
      <c r="E14" s="10">
        <v>127.88</v>
      </c>
      <c r="F14" s="19">
        <f>Tbl_Exportaciones2023[[#This Row],[Unidades]]*Tbl_Exportaciones2023[[#This Row],[Precio Unitario]]</f>
        <v>23785.68</v>
      </c>
    </row>
    <row r="15" spans="1:9" ht="17" x14ac:dyDescent="0.25">
      <c r="A15" s="7" t="s">
        <v>34</v>
      </c>
      <c r="B15" s="8" t="s">
        <v>7</v>
      </c>
      <c r="C15" s="8" t="s">
        <v>18</v>
      </c>
      <c r="D15" s="9">
        <v>83</v>
      </c>
      <c r="E15" s="10">
        <v>186.95</v>
      </c>
      <c r="F15" s="19">
        <f>Tbl_Exportaciones2023[[#This Row],[Unidades]]*Tbl_Exportaciones2023[[#This Row],[Precio Unitario]]</f>
        <v>15516.849999999999</v>
      </c>
    </row>
    <row r="16" spans="1:9" ht="17" x14ac:dyDescent="0.25">
      <c r="A16" s="7" t="s">
        <v>35</v>
      </c>
      <c r="B16" s="8" t="s">
        <v>24</v>
      </c>
      <c r="C16" s="8" t="s">
        <v>8</v>
      </c>
      <c r="D16" s="9">
        <v>102</v>
      </c>
      <c r="E16" s="10">
        <v>100.39</v>
      </c>
      <c r="F16" s="19">
        <f>Tbl_Exportaciones2023[[#This Row],[Unidades]]*Tbl_Exportaciones2023[[#This Row],[Precio Unitario]]</f>
        <v>10239.780000000001</v>
      </c>
    </row>
    <row r="17" spans="1:6" ht="17" x14ac:dyDescent="0.25">
      <c r="A17" s="7" t="s">
        <v>36</v>
      </c>
      <c r="B17" s="8" t="s">
        <v>15</v>
      </c>
      <c r="C17" s="8" t="s">
        <v>11</v>
      </c>
      <c r="D17" s="9">
        <v>206</v>
      </c>
      <c r="E17" s="10">
        <v>66.650000000000006</v>
      </c>
      <c r="F17" s="19">
        <f>Tbl_Exportaciones2023[[#This Row],[Unidades]]*Tbl_Exportaciones2023[[#This Row],[Precio Unitario]]</f>
        <v>13729.900000000001</v>
      </c>
    </row>
    <row r="18" spans="1:6" ht="17" x14ac:dyDescent="0.25">
      <c r="A18" s="7" t="s">
        <v>37</v>
      </c>
      <c r="B18" s="8" t="s">
        <v>12</v>
      </c>
      <c r="C18" s="8" t="s">
        <v>10</v>
      </c>
      <c r="D18" s="9">
        <v>165</v>
      </c>
      <c r="E18" s="10">
        <v>126.78</v>
      </c>
      <c r="F18" s="19">
        <f>Tbl_Exportaciones2023[[#This Row],[Unidades]]*Tbl_Exportaciones2023[[#This Row],[Precio Unitario]]</f>
        <v>20918.7</v>
      </c>
    </row>
    <row r="19" spans="1:6" ht="17" x14ac:dyDescent="0.25">
      <c r="A19" s="7" t="s">
        <v>38</v>
      </c>
      <c r="B19" s="8" t="s">
        <v>17</v>
      </c>
      <c r="C19" s="8" t="s">
        <v>10</v>
      </c>
      <c r="D19" s="9">
        <v>230</v>
      </c>
      <c r="E19" s="10">
        <v>206.77</v>
      </c>
      <c r="F19" s="19">
        <f>Tbl_Exportaciones2023[[#This Row],[Unidades]]*Tbl_Exportaciones2023[[#This Row],[Precio Unitario]]</f>
        <v>47557.100000000006</v>
      </c>
    </row>
    <row r="20" spans="1:6" ht="17" x14ac:dyDescent="0.25">
      <c r="A20" s="7" t="s">
        <v>39</v>
      </c>
      <c r="B20" s="8" t="s">
        <v>12</v>
      </c>
      <c r="C20" s="8" t="s">
        <v>10</v>
      </c>
      <c r="D20" s="9">
        <v>101</v>
      </c>
      <c r="E20" s="10">
        <v>52.59</v>
      </c>
      <c r="F20" s="19">
        <f>Tbl_Exportaciones2023[[#This Row],[Unidades]]*Tbl_Exportaciones2023[[#This Row],[Precio Unitario]]</f>
        <v>5311.59</v>
      </c>
    </row>
    <row r="21" spans="1:6" ht="17" x14ac:dyDescent="0.25">
      <c r="A21" s="7" t="s">
        <v>40</v>
      </c>
      <c r="B21" s="8" t="s">
        <v>15</v>
      </c>
      <c r="C21" s="8" t="s">
        <v>18</v>
      </c>
      <c r="D21" s="9">
        <v>152</v>
      </c>
      <c r="E21" s="10">
        <v>196.16</v>
      </c>
      <c r="F21" s="19">
        <f>Tbl_Exportaciones2023[[#This Row],[Unidades]]*Tbl_Exportaciones2023[[#This Row],[Precio Unitario]]</f>
        <v>29816.32</v>
      </c>
    </row>
    <row r="22" spans="1:6" ht="17" x14ac:dyDescent="0.25">
      <c r="A22" s="7" t="s">
        <v>41</v>
      </c>
      <c r="B22" s="8" t="s">
        <v>7</v>
      </c>
      <c r="C22" s="8" t="s">
        <v>14</v>
      </c>
      <c r="D22" s="9">
        <v>145</v>
      </c>
      <c r="E22" s="10">
        <v>178.63</v>
      </c>
      <c r="F22" s="19">
        <f>Tbl_Exportaciones2023[[#This Row],[Unidades]]*Tbl_Exportaciones2023[[#This Row],[Precio Unitario]]</f>
        <v>25901.35</v>
      </c>
    </row>
    <row r="23" spans="1:6" ht="17" x14ac:dyDescent="0.25">
      <c r="A23" s="7" t="s">
        <v>42</v>
      </c>
      <c r="B23" s="8" t="s">
        <v>9</v>
      </c>
      <c r="C23" s="8" t="s">
        <v>11</v>
      </c>
      <c r="D23" s="9">
        <v>286</v>
      </c>
      <c r="E23" s="10">
        <v>134.18</v>
      </c>
      <c r="F23" s="19">
        <f>Tbl_Exportaciones2023[[#This Row],[Unidades]]*Tbl_Exportaciones2023[[#This Row],[Precio Unitario]]</f>
        <v>38375.480000000003</v>
      </c>
    </row>
    <row r="24" spans="1:6" ht="17" x14ac:dyDescent="0.25">
      <c r="A24" s="7" t="s">
        <v>43</v>
      </c>
      <c r="B24" s="8" t="s">
        <v>17</v>
      </c>
      <c r="C24" s="8" t="s">
        <v>14</v>
      </c>
      <c r="D24" s="9">
        <v>173</v>
      </c>
      <c r="E24" s="10">
        <v>61.59</v>
      </c>
      <c r="F24" s="19">
        <f>Tbl_Exportaciones2023[[#This Row],[Unidades]]*Tbl_Exportaciones2023[[#This Row],[Precio Unitario]]</f>
        <v>10655.07</v>
      </c>
    </row>
    <row r="25" spans="1:6" ht="17" x14ac:dyDescent="0.25">
      <c r="A25" s="7" t="s">
        <v>44</v>
      </c>
      <c r="B25" s="8" t="s">
        <v>23</v>
      </c>
      <c r="C25" s="8" t="s">
        <v>11</v>
      </c>
      <c r="D25" s="9">
        <v>97</v>
      </c>
      <c r="E25" s="10">
        <v>200.42</v>
      </c>
      <c r="F25" s="19">
        <f>Tbl_Exportaciones2023[[#This Row],[Unidades]]*Tbl_Exportaciones2023[[#This Row],[Precio Unitario]]</f>
        <v>19440.739999999998</v>
      </c>
    </row>
    <row r="26" spans="1:6" ht="17" x14ac:dyDescent="0.25">
      <c r="A26" s="7" t="s">
        <v>45</v>
      </c>
      <c r="B26" s="8" t="s">
        <v>12</v>
      </c>
      <c r="C26" s="8" t="s">
        <v>16</v>
      </c>
      <c r="D26" s="9">
        <v>293</v>
      </c>
      <c r="E26" s="10">
        <v>212.07</v>
      </c>
      <c r="F26" s="19">
        <f>Tbl_Exportaciones2023[[#This Row],[Unidades]]*Tbl_Exportaciones2023[[#This Row],[Precio Unitario]]</f>
        <v>62136.509999999995</v>
      </c>
    </row>
    <row r="27" spans="1:6" ht="17" x14ac:dyDescent="0.25">
      <c r="A27" s="7" t="s">
        <v>46</v>
      </c>
      <c r="B27" s="8" t="s">
        <v>23</v>
      </c>
      <c r="C27" s="8" t="s">
        <v>14</v>
      </c>
      <c r="D27" s="9">
        <v>198</v>
      </c>
      <c r="E27" s="10">
        <v>241.77</v>
      </c>
      <c r="F27" s="19">
        <f>Tbl_Exportaciones2023[[#This Row],[Unidades]]*Tbl_Exportaciones2023[[#This Row],[Precio Unitario]]</f>
        <v>47870.46</v>
      </c>
    </row>
    <row r="28" spans="1:6" ht="17" x14ac:dyDescent="0.25">
      <c r="A28" s="7" t="s">
        <v>47</v>
      </c>
      <c r="B28" s="8" t="s">
        <v>9</v>
      </c>
      <c r="C28" s="8" t="s">
        <v>20</v>
      </c>
      <c r="D28" s="9">
        <v>169</v>
      </c>
      <c r="E28" s="10">
        <v>123.43</v>
      </c>
      <c r="F28" s="19">
        <f>Tbl_Exportaciones2023[[#This Row],[Unidades]]*Tbl_Exportaciones2023[[#This Row],[Precio Unitario]]</f>
        <v>20859.670000000002</v>
      </c>
    </row>
    <row r="29" spans="1:6" ht="17" x14ac:dyDescent="0.25">
      <c r="A29" s="7" t="s">
        <v>48</v>
      </c>
      <c r="B29" s="8" t="s">
        <v>7</v>
      </c>
      <c r="C29" s="8" t="s">
        <v>11</v>
      </c>
      <c r="D29" s="9">
        <v>238</v>
      </c>
      <c r="E29" s="10">
        <v>196.41</v>
      </c>
      <c r="F29" s="19">
        <f>Tbl_Exportaciones2023[[#This Row],[Unidades]]*Tbl_Exportaciones2023[[#This Row],[Precio Unitario]]</f>
        <v>46745.58</v>
      </c>
    </row>
    <row r="30" spans="1:6" ht="17" x14ac:dyDescent="0.25">
      <c r="A30" s="7" t="s">
        <v>44</v>
      </c>
      <c r="B30" s="8" t="s">
        <v>22</v>
      </c>
      <c r="C30" s="8" t="s">
        <v>13</v>
      </c>
      <c r="D30" s="9">
        <v>174</v>
      </c>
      <c r="E30" s="10">
        <v>105.93</v>
      </c>
      <c r="F30" s="19">
        <f>Tbl_Exportaciones2023[[#This Row],[Unidades]]*Tbl_Exportaciones2023[[#This Row],[Precio Unitario]]</f>
        <v>18431.82</v>
      </c>
    </row>
    <row r="31" spans="1:6" ht="17" x14ac:dyDescent="0.25">
      <c r="A31" s="7" t="s">
        <v>49</v>
      </c>
      <c r="B31" s="8" t="s">
        <v>15</v>
      </c>
      <c r="C31" s="8" t="s">
        <v>11</v>
      </c>
      <c r="D31" s="9">
        <v>94</v>
      </c>
      <c r="E31" s="10">
        <v>201.26</v>
      </c>
      <c r="F31" s="19">
        <f>Tbl_Exportaciones2023[[#This Row],[Unidades]]*Tbl_Exportaciones2023[[#This Row],[Precio Unitario]]</f>
        <v>18918.439999999999</v>
      </c>
    </row>
    <row r="32" spans="1:6" ht="17" x14ac:dyDescent="0.25">
      <c r="A32" s="7" t="s">
        <v>50</v>
      </c>
      <c r="B32" s="8" t="s">
        <v>22</v>
      </c>
      <c r="C32" s="8" t="s">
        <v>16</v>
      </c>
      <c r="D32" s="9">
        <v>283</v>
      </c>
      <c r="E32" s="10">
        <v>167.76</v>
      </c>
      <c r="F32" s="19">
        <f>Tbl_Exportaciones2023[[#This Row],[Unidades]]*Tbl_Exportaciones2023[[#This Row],[Precio Unitario]]</f>
        <v>47476.079999999994</v>
      </c>
    </row>
    <row r="33" spans="1:6" ht="17" x14ac:dyDescent="0.25">
      <c r="A33" s="7" t="s">
        <v>51</v>
      </c>
      <c r="B33" s="8" t="s">
        <v>7</v>
      </c>
      <c r="C33" s="8" t="s">
        <v>13</v>
      </c>
      <c r="D33" s="9">
        <v>169</v>
      </c>
      <c r="E33" s="10">
        <v>156.87</v>
      </c>
      <c r="F33" s="19">
        <f>Tbl_Exportaciones2023[[#This Row],[Unidades]]*Tbl_Exportaciones2023[[#This Row],[Precio Unitario]]</f>
        <v>26511.030000000002</v>
      </c>
    </row>
    <row r="34" spans="1:6" ht="17" x14ac:dyDescent="0.25">
      <c r="A34" s="7" t="s">
        <v>52</v>
      </c>
      <c r="B34" s="8" t="s">
        <v>7</v>
      </c>
      <c r="C34" s="8" t="s">
        <v>11</v>
      </c>
      <c r="D34" s="9">
        <v>184</v>
      </c>
      <c r="E34" s="10">
        <v>144.72999999999999</v>
      </c>
      <c r="F34" s="19">
        <f>Tbl_Exportaciones2023[[#This Row],[Unidades]]*Tbl_Exportaciones2023[[#This Row],[Precio Unitario]]</f>
        <v>26630.32</v>
      </c>
    </row>
    <row r="35" spans="1:6" ht="17" x14ac:dyDescent="0.25">
      <c r="A35" s="7" t="s">
        <v>53</v>
      </c>
      <c r="B35" s="8" t="s">
        <v>22</v>
      </c>
      <c r="C35" s="8" t="s">
        <v>11</v>
      </c>
      <c r="D35" s="9">
        <v>158</v>
      </c>
      <c r="E35" s="10">
        <v>50.34</v>
      </c>
      <c r="F35" s="19">
        <f>Tbl_Exportaciones2023[[#This Row],[Unidades]]*Tbl_Exportaciones2023[[#This Row],[Precio Unitario]]</f>
        <v>7953.72</v>
      </c>
    </row>
    <row r="36" spans="1:6" ht="17" x14ac:dyDescent="0.25">
      <c r="A36" s="7" t="s">
        <v>54</v>
      </c>
      <c r="B36" s="8" t="s">
        <v>15</v>
      </c>
      <c r="C36" s="8" t="s">
        <v>11</v>
      </c>
      <c r="D36" s="9">
        <v>284</v>
      </c>
      <c r="E36" s="10">
        <v>169.39</v>
      </c>
      <c r="F36" s="19">
        <f>Tbl_Exportaciones2023[[#This Row],[Unidades]]*Tbl_Exportaciones2023[[#This Row],[Precio Unitario]]</f>
        <v>48106.759999999995</v>
      </c>
    </row>
    <row r="37" spans="1:6" ht="17" x14ac:dyDescent="0.25">
      <c r="A37" s="7" t="s">
        <v>30</v>
      </c>
      <c r="B37" s="8" t="s">
        <v>22</v>
      </c>
      <c r="C37" s="8" t="s">
        <v>10</v>
      </c>
      <c r="D37" s="9">
        <v>241</v>
      </c>
      <c r="E37" s="10">
        <v>92.5</v>
      </c>
      <c r="F37" s="19">
        <f>Tbl_Exportaciones2023[[#This Row],[Unidades]]*Tbl_Exportaciones2023[[#This Row],[Precio Unitario]]</f>
        <v>22292.5</v>
      </c>
    </row>
    <row r="38" spans="1:6" ht="17" x14ac:dyDescent="0.25">
      <c r="A38" s="7" t="s">
        <v>55</v>
      </c>
      <c r="B38" s="8" t="s">
        <v>24</v>
      </c>
      <c r="C38" s="8" t="s">
        <v>16</v>
      </c>
      <c r="D38" s="9">
        <v>296</v>
      </c>
      <c r="E38" s="10">
        <v>58.66</v>
      </c>
      <c r="F38" s="19">
        <f>Tbl_Exportaciones2023[[#This Row],[Unidades]]*Tbl_Exportaciones2023[[#This Row],[Precio Unitario]]</f>
        <v>17363.36</v>
      </c>
    </row>
    <row r="39" spans="1:6" ht="17" x14ac:dyDescent="0.25">
      <c r="A39" s="7" t="s">
        <v>56</v>
      </c>
      <c r="B39" s="8" t="s">
        <v>12</v>
      </c>
      <c r="C39" s="8" t="s">
        <v>13</v>
      </c>
      <c r="D39" s="9">
        <v>259</v>
      </c>
      <c r="E39" s="10">
        <v>146.41</v>
      </c>
      <c r="F39" s="19">
        <f>Tbl_Exportaciones2023[[#This Row],[Unidades]]*Tbl_Exportaciones2023[[#This Row],[Precio Unitario]]</f>
        <v>37920.19</v>
      </c>
    </row>
    <row r="40" spans="1:6" ht="17" x14ac:dyDescent="0.25">
      <c r="A40" s="7" t="s">
        <v>57</v>
      </c>
      <c r="B40" s="8" t="s">
        <v>7</v>
      </c>
      <c r="C40" s="8" t="s">
        <v>8</v>
      </c>
      <c r="D40" s="9">
        <v>250</v>
      </c>
      <c r="E40" s="10">
        <v>243.27</v>
      </c>
      <c r="F40" s="19">
        <f>Tbl_Exportaciones2023[[#This Row],[Unidades]]*Tbl_Exportaciones2023[[#This Row],[Precio Unitario]]</f>
        <v>60817.5</v>
      </c>
    </row>
    <row r="41" spans="1:6" ht="17" x14ac:dyDescent="0.25">
      <c r="A41" s="7" t="s">
        <v>58</v>
      </c>
      <c r="B41" s="8" t="s">
        <v>15</v>
      </c>
      <c r="C41" s="8" t="s">
        <v>11</v>
      </c>
      <c r="D41" s="9">
        <v>162</v>
      </c>
      <c r="E41" s="10">
        <v>130.27000000000001</v>
      </c>
      <c r="F41" s="19">
        <f>Tbl_Exportaciones2023[[#This Row],[Unidades]]*Tbl_Exportaciones2023[[#This Row],[Precio Unitario]]</f>
        <v>21103.74</v>
      </c>
    </row>
    <row r="42" spans="1:6" ht="17" x14ac:dyDescent="0.25">
      <c r="A42" s="7" t="s">
        <v>59</v>
      </c>
      <c r="B42" s="8" t="s">
        <v>17</v>
      </c>
      <c r="C42" s="8" t="s">
        <v>19</v>
      </c>
      <c r="D42" s="9">
        <v>235</v>
      </c>
      <c r="E42" s="10">
        <v>216.59</v>
      </c>
      <c r="F42" s="19">
        <f>Tbl_Exportaciones2023[[#This Row],[Unidades]]*Tbl_Exportaciones2023[[#This Row],[Precio Unitario]]</f>
        <v>50898.65</v>
      </c>
    </row>
    <row r="43" spans="1:6" ht="17" x14ac:dyDescent="0.25">
      <c r="A43" s="7" t="s">
        <v>60</v>
      </c>
      <c r="B43" s="8" t="s">
        <v>7</v>
      </c>
      <c r="C43" s="8" t="s">
        <v>13</v>
      </c>
      <c r="D43" s="9">
        <v>252</v>
      </c>
      <c r="E43" s="10">
        <v>151.05000000000001</v>
      </c>
      <c r="F43" s="19">
        <f>Tbl_Exportaciones2023[[#This Row],[Unidades]]*Tbl_Exportaciones2023[[#This Row],[Precio Unitario]]</f>
        <v>38064.600000000006</v>
      </c>
    </row>
    <row r="44" spans="1:6" ht="17" x14ac:dyDescent="0.25">
      <c r="A44" s="7" t="s">
        <v>61</v>
      </c>
      <c r="B44" s="8" t="s">
        <v>7</v>
      </c>
      <c r="C44" s="8" t="s">
        <v>21</v>
      </c>
      <c r="D44" s="9">
        <v>77</v>
      </c>
      <c r="E44" s="10">
        <v>206.42</v>
      </c>
      <c r="F44" s="19">
        <f>Tbl_Exportaciones2023[[#This Row],[Unidades]]*Tbl_Exportaciones2023[[#This Row],[Precio Unitario]]</f>
        <v>15894.339999999998</v>
      </c>
    </row>
    <row r="45" spans="1:6" ht="17" x14ac:dyDescent="0.25">
      <c r="A45" s="7" t="s">
        <v>62</v>
      </c>
      <c r="B45" s="8" t="s">
        <v>15</v>
      </c>
      <c r="C45" s="8" t="s">
        <v>19</v>
      </c>
      <c r="D45" s="9">
        <v>264</v>
      </c>
      <c r="E45" s="10">
        <v>198.62</v>
      </c>
      <c r="F45" s="19">
        <f>Tbl_Exportaciones2023[[#This Row],[Unidades]]*Tbl_Exportaciones2023[[#This Row],[Precio Unitario]]</f>
        <v>52435.68</v>
      </c>
    </row>
    <row r="46" spans="1:6" ht="17" x14ac:dyDescent="0.25">
      <c r="A46" s="7" t="s">
        <v>63</v>
      </c>
      <c r="B46" s="8" t="s">
        <v>9</v>
      </c>
      <c r="C46" s="8" t="s">
        <v>19</v>
      </c>
      <c r="D46" s="9">
        <v>170</v>
      </c>
      <c r="E46" s="10">
        <v>82.95</v>
      </c>
      <c r="F46" s="19">
        <f>Tbl_Exportaciones2023[[#This Row],[Unidades]]*Tbl_Exportaciones2023[[#This Row],[Precio Unitario]]</f>
        <v>14101.5</v>
      </c>
    </row>
    <row r="47" spans="1:6" ht="17" x14ac:dyDescent="0.25">
      <c r="A47" s="7" t="s">
        <v>64</v>
      </c>
      <c r="B47" s="8" t="s">
        <v>9</v>
      </c>
      <c r="C47" s="8" t="s">
        <v>21</v>
      </c>
      <c r="D47" s="9">
        <v>252</v>
      </c>
      <c r="E47" s="10">
        <v>169.77</v>
      </c>
      <c r="F47" s="19">
        <f>Tbl_Exportaciones2023[[#This Row],[Unidades]]*Tbl_Exportaciones2023[[#This Row],[Precio Unitario]]</f>
        <v>42782.04</v>
      </c>
    </row>
    <row r="48" spans="1:6" ht="17" x14ac:dyDescent="0.25">
      <c r="A48" s="7" t="s">
        <v>65</v>
      </c>
      <c r="B48" s="8" t="s">
        <v>24</v>
      </c>
      <c r="C48" s="8" t="s">
        <v>8</v>
      </c>
      <c r="D48" s="9">
        <v>245</v>
      </c>
      <c r="E48" s="10">
        <v>67.459999999999994</v>
      </c>
      <c r="F48" s="19">
        <f>Tbl_Exportaciones2023[[#This Row],[Unidades]]*Tbl_Exportaciones2023[[#This Row],[Precio Unitario]]</f>
        <v>16527.699999999997</v>
      </c>
    </row>
    <row r="49" spans="1:6" ht="17" x14ac:dyDescent="0.25">
      <c r="A49" s="7" t="s">
        <v>66</v>
      </c>
      <c r="B49" s="8" t="s">
        <v>22</v>
      </c>
      <c r="C49" s="8" t="s">
        <v>18</v>
      </c>
      <c r="D49" s="9">
        <v>278</v>
      </c>
      <c r="E49" s="10">
        <v>137.61000000000001</v>
      </c>
      <c r="F49" s="19">
        <f>Tbl_Exportaciones2023[[#This Row],[Unidades]]*Tbl_Exportaciones2023[[#This Row],[Precio Unitario]]</f>
        <v>38255.58</v>
      </c>
    </row>
    <row r="50" spans="1:6" ht="17" x14ac:dyDescent="0.25">
      <c r="A50" s="7" t="s">
        <v>67</v>
      </c>
      <c r="B50" s="8" t="s">
        <v>23</v>
      </c>
      <c r="C50" s="8" t="s">
        <v>10</v>
      </c>
      <c r="D50" s="9">
        <v>200</v>
      </c>
      <c r="E50" s="10">
        <v>137.19999999999999</v>
      </c>
      <c r="F50" s="19">
        <f>Tbl_Exportaciones2023[[#This Row],[Unidades]]*Tbl_Exportaciones2023[[#This Row],[Precio Unitario]]</f>
        <v>27439.999999999996</v>
      </c>
    </row>
    <row r="51" spans="1:6" ht="17" x14ac:dyDescent="0.25">
      <c r="A51" s="7" t="s">
        <v>68</v>
      </c>
      <c r="B51" s="8" t="s">
        <v>24</v>
      </c>
      <c r="C51" s="8" t="s">
        <v>18</v>
      </c>
      <c r="D51" s="9">
        <v>116</v>
      </c>
      <c r="E51" s="10">
        <v>165.2</v>
      </c>
      <c r="F51" s="19">
        <f>Tbl_Exportaciones2023[[#This Row],[Unidades]]*Tbl_Exportaciones2023[[#This Row],[Precio Unitario]]</f>
        <v>19163.199999999997</v>
      </c>
    </row>
    <row r="52" spans="1:6" ht="17" x14ac:dyDescent="0.25">
      <c r="A52" s="7" t="s">
        <v>69</v>
      </c>
      <c r="B52" s="8" t="s">
        <v>15</v>
      </c>
      <c r="C52" s="8" t="s">
        <v>19</v>
      </c>
      <c r="D52" s="9">
        <v>96</v>
      </c>
      <c r="E52" s="10">
        <v>165.22</v>
      </c>
      <c r="F52" s="19">
        <f>Tbl_Exportaciones2023[[#This Row],[Unidades]]*Tbl_Exportaciones2023[[#This Row],[Precio Unitario]]</f>
        <v>15861.119999999999</v>
      </c>
    </row>
    <row r="53" spans="1:6" ht="17" x14ac:dyDescent="0.25">
      <c r="A53" s="7" t="s">
        <v>70</v>
      </c>
      <c r="B53" s="8" t="s">
        <v>17</v>
      </c>
      <c r="C53" s="8" t="s">
        <v>21</v>
      </c>
      <c r="D53" s="9">
        <v>203</v>
      </c>
      <c r="E53" s="10">
        <v>135.41999999999999</v>
      </c>
      <c r="F53" s="19">
        <f>Tbl_Exportaciones2023[[#This Row],[Unidades]]*Tbl_Exportaciones2023[[#This Row],[Precio Unitario]]</f>
        <v>27490.26</v>
      </c>
    </row>
    <row r="54" spans="1:6" ht="17" x14ac:dyDescent="0.25">
      <c r="A54" s="7" t="s">
        <v>71</v>
      </c>
      <c r="B54" s="8" t="s">
        <v>7</v>
      </c>
      <c r="C54" s="8" t="s">
        <v>19</v>
      </c>
      <c r="D54" s="9">
        <v>191</v>
      </c>
      <c r="E54" s="10">
        <v>240.2</v>
      </c>
      <c r="F54" s="19">
        <f>Tbl_Exportaciones2023[[#This Row],[Unidades]]*Tbl_Exportaciones2023[[#This Row],[Precio Unitario]]</f>
        <v>45878.2</v>
      </c>
    </row>
    <row r="55" spans="1:6" ht="17" x14ac:dyDescent="0.25">
      <c r="A55" s="7" t="s">
        <v>72</v>
      </c>
      <c r="B55" s="8" t="s">
        <v>7</v>
      </c>
      <c r="C55" s="8" t="s">
        <v>13</v>
      </c>
      <c r="D55" s="9">
        <v>80</v>
      </c>
      <c r="E55" s="10">
        <v>179.66</v>
      </c>
      <c r="F55" s="19">
        <f>Tbl_Exportaciones2023[[#This Row],[Unidades]]*Tbl_Exportaciones2023[[#This Row],[Precio Unitario]]</f>
        <v>14372.8</v>
      </c>
    </row>
    <row r="56" spans="1:6" ht="17" x14ac:dyDescent="0.25">
      <c r="A56" s="7" t="s">
        <v>73</v>
      </c>
      <c r="B56" s="8" t="s">
        <v>15</v>
      </c>
      <c r="C56" s="8" t="s">
        <v>19</v>
      </c>
      <c r="D56" s="9">
        <v>197</v>
      </c>
      <c r="E56" s="10">
        <v>215.48</v>
      </c>
      <c r="F56" s="19">
        <f>Tbl_Exportaciones2023[[#This Row],[Unidades]]*Tbl_Exportaciones2023[[#This Row],[Precio Unitario]]</f>
        <v>42449.56</v>
      </c>
    </row>
    <row r="57" spans="1:6" ht="17" x14ac:dyDescent="0.25">
      <c r="A57" s="7" t="s">
        <v>74</v>
      </c>
      <c r="B57" s="8" t="s">
        <v>22</v>
      </c>
      <c r="C57" s="8" t="s">
        <v>13</v>
      </c>
      <c r="D57" s="9">
        <v>68</v>
      </c>
      <c r="E57" s="10">
        <v>65.14</v>
      </c>
      <c r="F57" s="19">
        <f>Tbl_Exportaciones2023[[#This Row],[Unidades]]*Tbl_Exportaciones2023[[#This Row],[Precio Unitario]]</f>
        <v>4429.5200000000004</v>
      </c>
    </row>
    <row r="58" spans="1:6" ht="17" x14ac:dyDescent="0.25">
      <c r="A58" s="7" t="s">
        <v>75</v>
      </c>
      <c r="B58" s="8" t="s">
        <v>7</v>
      </c>
      <c r="C58" s="8" t="s">
        <v>14</v>
      </c>
      <c r="D58" s="9">
        <v>74</v>
      </c>
      <c r="E58" s="10">
        <v>88.48</v>
      </c>
      <c r="F58" s="19">
        <f>Tbl_Exportaciones2023[[#This Row],[Unidades]]*Tbl_Exportaciones2023[[#This Row],[Precio Unitario]]</f>
        <v>6547.52</v>
      </c>
    </row>
    <row r="59" spans="1:6" ht="17" x14ac:dyDescent="0.25">
      <c r="A59" s="7" t="s">
        <v>76</v>
      </c>
      <c r="B59" s="8" t="s">
        <v>12</v>
      </c>
      <c r="C59" s="8" t="s">
        <v>11</v>
      </c>
      <c r="D59" s="9">
        <v>75</v>
      </c>
      <c r="E59" s="10">
        <v>156.97999999999999</v>
      </c>
      <c r="F59" s="19">
        <f>Tbl_Exportaciones2023[[#This Row],[Unidades]]*Tbl_Exportaciones2023[[#This Row],[Precio Unitario]]</f>
        <v>11773.5</v>
      </c>
    </row>
    <row r="60" spans="1:6" ht="17" x14ac:dyDescent="0.25">
      <c r="A60" s="7" t="s">
        <v>61</v>
      </c>
      <c r="B60" s="8" t="s">
        <v>23</v>
      </c>
      <c r="C60" s="8" t="s">
        <v>21</v>
      </c>
      <c r="D60" s="9">
        <v>136</v>
      </c>
      <c r="E60" s="10">
        <v>219.55</v>
      </c>
      <c r="F60" s="19">
        <f>Tbl_Exportaciones2023[[#This Row],[Unidades]]*Tbl_Exportaciones2023[[#This Row],[Precio Unitario]]</f>
        <v>29858.800000000003</v>
      </c>
    </row>
    <row r="61" spans="1:6" ht="17" x14ac:dyDescent="0.25">
      <c r="A61" s="7" t="s">
        <v>77</v>
      </c>
      <c r="B61" s="8" t="s">
        <v>22</v>
      </c>
      <c r="C61" s="8" t="s">
        <v>21</v>
      </c>
      <c r="D61" s="9">
        <v>180</v>
      </c>
      <c r="E61" s="10">
        <v>58.74</v>
      </c>
      <c r="F61" s="19">
        <f>Tbl_Exportaciones2023[[#This Row],[Unidades]]*Tbl_Exportaciones2023[[#This Row],[Precio Unitario]]</f>
        <v>10573.2</v>
      </c>
    </row>
    <row r="62" spans="1:6" ht="17" x14ac:dyDescent="0.25">
      <c r="A62" s="7" t="s">
        <v>78</v>
      </c>
      <c r="B62" s="8" t="s">
        <v>7</v>
      </c>
      <c r="C62" s="8" t="s">
        <v>14</v>
      </c>
      <c r="D62" s="9">
        <v>165</v>
      </c>
      <c r="E62" s="10">
        <v>224.42</v>
      </c>
      <c r="F62" s="19">
        <f>Tbl_Exportaciones2023[[#This Row],[Unidades]]*Tbl_Exportaciones2023[[#This Row],[Precio Unitario]]</f>
        <v>37029.299999999996</v>
      </c>
    </row>
    <row r="63" spans="1:6" ht="17" x14ac:dyDescent="0.25">
      <c r="A63" s="7" t="s">
        <v>79</v>
      </c>
      <c r="B63" s="8" t="s">
        <v>22</v>
      </c>
      <c r="C63" s="8" t="s">
        <v>21</v>
      </c>
      <c r="D63" s="9">
        <v>178</v>
      </c>
      <c r="E63" s="10">
        <v>100.84</v>
      </c>
      <c r="F63" s="19">
        <f>Tbl_Exportaciones2023[[#This Row],[Unidades]]*Tbl_Exportaciones2023[[#This Row],[Precio Unitario]]</f>
        <v>17949.52</v>
      </c>
    </row>
    <row r="64" spans="1:6" ht="17" x14ac:dyDescent="0.25">
      <c r="A64" s="7" t="s">
        <v>80</v>
      </c>
      <c r="B64" s="8" t="s">
        <v>23</v>
      </c>
      <c r="C64" s="8" t="s">
        <v>8</v>
      </c>
      <c r="D64" s="9">
        <v>230</v>
      </c>
      <c r="E64" s="10">
        <v>181.72</v>
      </c>
      <c r="F64" s="19">
        <f>Tbl_Exportaciones2023[[#This Row],[Unidades]]*Tbl_Exportaciones2023[[#This Row],[Precio Unitario]]</f>
        <v>41795.599999999999</v>
      </c>
    </row>
    <row r="65" spans="1:6" ht="17" x14ac:dyDescent="0.25">
      <c r="A65" s="7" t="s">
        <v>81</v>
      </c>
      <c r="B65" s="8" t="s">
        <v>15</v>
      </c>
      <c r="C65" s="8" t="s">
        <v>20</v>
      </c>
      <c r="D65" s="9">
        <v>69</v>
      </c>
      <c r="E65" s="10">
        <v>169.75</v>
      </c>
      <c r="F65" s="19">
        <f>Tbl_Exportaciones2023[[#This Row],[Unidades]]*Tbl_Exportaciones2023[[#This Row],[Precio Unitario]]</f>
        <v>11712.75</v>
      </c>
    </row>
    <row r="66" spans="1:6" ht="17" x14ac:dyDescent="0.25">
      <c r="A66" s="7" t="s">
        <v>33</v>
      </c>
      <c r="B66" s="8" t="s">
        <v>22</v>
      </c>
      <c r="C66" s="8" t="s">
        <v>19</v>
      </c>
      <c r="D66" s="9">
        <v>166</v>
      </c>
      <c r="E66" s="10">
        <v>183.56</v>
      </c>
      <c r="F66" s="19">
        <f>Tbl_Exportaciones2023[[#This Row],[Unidades]]*Tbl_Exportaciones2023[[#This Row],[Precio Unitario]]</f>
        <v>30470.959999999999</v>
      </c>
    </row>
    <row r="67" spans="1:6" ht="17" x14ac:dyDescent="0.25">
      <c r="A67" s="7" t="s">
        <v>82</v>
      </c>
      <c r="B67" s="8" t="s">
        <v>23</v>
      </c>
      <c r="C67" s="8" t="s">
        <v>20</v>
      </c>
      <c r="D67" s="9">
        <v>254</v>
      </c>
      <c r="E67" s="10">
        <v>212.38</v>
      </c>
      <c r="F67" s="19">
        <f>Tbl_Exportaciones2023[[#This Row],[Unidades]]*Tbl_Exportaciones2023[[#This Row],[Precio Unitario]]</f>
        <v>53944.52</v>
      </c>
    </row>
    <row r="68" spans="1:6" ht="17" x14ac:dyDescent="0.25">
      <c r="A68" s="7" t="s">
        <v>83</v>
      </c>
      <c r="B68" s="8" t="s">
        <v>15</v>
      </c>
      <c r="C68" s="8" t="s">
        <v>21</v>
      </c>
      <c r="D68" s="9">
        <v>266</v>
      </c>
      <c r="E68" s="10">
        <v>182.14</v>
      </c>
      <c r="F68" s="19">
        <f>Tbl_Exportaciones2023[[#This Row],[Unidades]]*Tbl_Exportaciones2023[[#This Row],[Precio Unitario]]</f>
        <v>48449.24</v>
      </c>
    </row>
    <row r="69" spans="1:6" ht="17" x14ac:dyDescent="0.25">
      <c r="A69" s="7" t="s">
        <v>84</v>
      </c>
      <c r="B69" s="8" t="s">
        <v>9</v>
      </c>
      <c r="C69" s="8" t="s">
        <v>16</v>
      </c>
      <c r="D69" s="9">
        <v>187</v>
      </c>
      <c r="E69" s="10">
        <v>240.66</v>
      </c>
      <c r="F69" s="19">
        <f>Tbl_Exportaciones2023[[#This Row],[Unidades]]*Tbl_Exportaciones2023[[#This Row],[Precio Unitario]]</f>
        <v>45003.42</v>
      </c>
    </row>
    <row r="70" spans="1:6" ht="17" x14ac:dyDescent="0.25">
      <c r="A70" s="7" t="s">
        <v>85</v>
      </c>
      <c r="B70" s="8" t="s">
        <v>9</v>
      </c>
      <c r="C70" s="8" t="s">
        <v>10</v>
      </c>
      <c r="D70" s="9">
        <v>212</v>
      </c>
      <c r="E70" s="10">
        <v>69.45</v>
      </c>
      <c r="F70" s="19">
        <f>Tbl_Exportaciones2023[[#This Row],[Unidades]]*Tbl_Exportaciones2023[[#This Row],[Precio Unitario]]</f>
        <v>14723.400000000001</v>
      </c>
    </row>
    <row r="71" spans="1:6" ht="17" x14ac:dyDescent="0.25">
      <c r="A71" s="7" t="s">
        <v>86</v>
      </c>
      <c r="B71" s="8" t="s">
        <v>15</v>
      </c>
      <c r="C71" s="8" t="s">
        <v>10</v>
      </c>
      <c r="D71" s="9">
        <v>173</v>
      </c>
      <c r="E71" s="10">
        <v>243.24</v>
      </c>
      <c r="F71" s="19">
        <f>Tbl_Exportaciones2023[[#This Row],[Unidades]]*Tbl_Exportaciones2023[[#This Row],[Precio Unitario]]</f>
        <v>42080.520000000004</v>
      </c>
    </row>
    <row r="72" spans="1:6" ht="17" x14ac:dyDescent="0.25">
      <c r="A72" s="7" t="s">
        <v>87</v>
      </c>
      <c r="B72" s="8" t="s">
        <v>22</v>
      </c>
      <c r="C72" s="8" t="s">
        <v>11</v>
      </c>
      <c r="D72" s="9">
        <v>61</v>
      </c>
      <c r="E72" s="10">
        <v>81.38</v>
      </c>
      <c r="F72" s="19">
        <f>Tbl_Exportaciones2023[[#This Row],[Unidades]]*Tbl_Exportaciones2023[[#This Row],[Precio Unitario]]</f>
        <v>4964.1799999999994</v>
      </c>
    </row>
    <row r="73" spans="1:6" ht="17" x14ac:dyDescent="0.25">
      <c r="A73" s="7" t="s">
        <v>88</v>
      </c>
      <c r="B73" s="8" t="s">
        <v>24</v>
      </c>
      <c r="C73" s="8" t="s">
        <v>16</v>
      </c>
      <c r="D73" s="9">
        <v>86</v>
      </c>
      <c r="E73" s="10">
        <v>113.16</v>
      </c>
      <c r="F73" s="19">
        <f>Tbl_Exportaciones2023[[#This Row],[Unidades]]*Tbl_Exportaciones2023[[#This Row],[Precio Unitario]]</f>
        <v>9731.76</v>
      </c>
    </row>
    <row r="74" spans="1:6" ht="17" x14ac:dyDescent="0.25">
      <c r="A74" s="7" t="s">
        <v>89</v>
      </c>
      <c r="B74" s="8" t="s">
        <v>7</v>
      </c>
      <c r="C74" s="8" t="s">
        <v>10</v>
      </c>
      <c r="D74" s="9">
        <v>87</v>
      </c>
      <c r="E74" s="10">
        <v>198.42</v>
      </c>
      <c r="F74" s="19">
        <f>Tbl_Exportaciones2023[[#This Row],[Unidades]]*Tbl_Exportaciones2023[[#This Row],[Precio Unitario]]</f>
        <v>17262.539999999997</v>
      </c>
    </row>
    <row r="75" spans="1:6" ht="17" x14ac:dyDescent="0.25">
      <c r="A75" s="7" t="s">
        <v>90</v>
      </c>
      <c r="B75" s="8" t="s">
        <v>9</v>
      </c>
      <c r="C75" s="8" t="s">
        <v>14</v>
      </c>
      <c r="D75" s="9">
        <v>248</v>
      </c>
      <c r="E75" s="10">
        <v>82.87</v>
      </c>
      <c r="F75" s="19">
        <f>Tbl_Exportaciones2023[[#This Row],[Unidades]]*Tbl_Exportaciones2023[[#This Row],[Precio Unitario]]</f>
        <v>20551.760000000002</v>
      </c>
    </row>
    <row r="76" spans="1:6" ht="17" x14ac:dyDescent="0.25">
      <c r="A76" s="7" t="s">
        <v>91</v>
      </c>
      <c r="B76" s="8" t="s">
        <v>17</v>
      </c>
      <c r="C76" s="8" t="s">
        <v>16</v>
      </c>
      <c r="D76" s="9">
        <v>121</v>
      </c>
      <c r="E76" s="10">
        <v>80.97</v>
      </c>
      <c r="F76" s="19">
        <f>Tbl_Exportaciones2023[[#This Row],[Unidades]]*Tbl_Exportaciones2023[[#This Row],[Precio Unitario]]</f>
        <v>9797.369999999999</v>
      </c>
    </row>
    <row r="77" spans="1:6" ht="17" x14ac:dyDescent="0.25">
      <c r="A77" s="7" t="s">
        <v>92</v>
      </c>
      <c r="B77" s="8" t="s">
        <v>12</v>
      </c>
      <c r="C77" s="8" t="s">
        <v>14</v>
      </c>
      <c r="D77" s="9">
        <v>180</v>
      </c>
      <c r="E77" s="10">
        <v>123.43</v>
      </c>
      <c r="F77" s="19">
        <f>Tbl_Exportaciones2023[[#This Row],[Unidades]]*Tbl_Exportaciones2023[[#This Row],[Precio Unitario]]</f>
        <v>22217.4</v>
      </c>
    </row>
    <row r="78" spans="1:6" ht="17" x14ac:dyDescent="0.25">
      <c r="A78" s="7" t="s">
        <v>93</v>
      </c>
      <c r="B78" s="8" t="s">
        <v>15</v>
      </c>
      <c r="C78" s="8" t="s">
        <v>13</v>
      </c>
      <c r="D78" s="9">
        <v>146</v>
      </c>
      <c r="E78" s="10">
        <v>130.30000000000001</v>
      </c>
      <c r="F78" s="19">
        <f>Tbl_Exportaciones2023[[#This Row],[Unidades]]*Tbl_Exportaciones2023[[#This Row],[Precio Unitario]]</f>
        <v>19023.800000000003</v>
      </c>
    </row>
    <row r="79" spans="1:6" ht="17" x14ac:dyDescent="0.25">
      <c r="A79" s="7" t="s">
        <v>36</v>
      </c>
      <c r="B79" s="8" t="s">
        <v>24</v>
      </c>
      <c r="C79" s="8" t="s">
        <v>16</v>
      </c>
      <c r="D79" s="9">
        <v>203</v>
      </c>
      <c r="E79" s="10">
        <v>109.23</v>
      </c>
      <c r="F79" s="19">
        <f>Tbl_Exportaciones2023[[#This Row],[Unidades]]*Tbl_Exportaciones2023[[#This Row],[Precio Unitario]]</f>
        <v>22173.690000000002</v>
      </c>
    </row>
    <row r="80" spans="1:6" ht="17" x14ac:dyDescent="0.25">
      <c r="A80" s="7" t="s">
        <v>94</v>
      </c>
      <c r="B80" s="8" t="s">
        <v>17</v>
      </c>
      <c r="C80" s="8" t="s">
        <v>19</v>
      </c>
      <c r="D80" s="9">
        <v>158</v>
      </c>
      <c r="E80" s="10">
        <v>240.16</v>
      </c>
      <c r="F80" s="19">
        <f>Tbl_Exportaciones2023[[#This Row],[Unidades]]*Tbl_Exportaciones2023[[#This Row],[Precio Unitario]]</f>
        <v>37945.279999999999</v>
      </c>
    </row>
    <row r="81" spans="1:6" ht="17" x14ac:dyDescent="0.25">
      <c r="A81" s="7" t="s">
        <v>95</v>
      </c>
      <c r="B81" s="8" t="s">
        <v>9</v>
      </c>
      <c r="C81" s="8" t="s">
        <v>11</v>
      </c>
      <c r="D81" s="9">
        <v>84</v>
      </c>
      <c r="E81" s="10">
        <v>168.54</v>
      </c>
      <c r="F81" s="19">
        <f>Tbl_Exportaciones2023[[#This Row],[Unidades]]*Tbl_Exportaciones2023[[#This Row],[Precio Unitario]]</f>
        <v>14157.359999999999</v>
      </c>
    </row>
    <row r="82" spans="1:6" ht="17" x14ac:dyDescent="0.25">
      <c r="A82" s="7" t="s">
        <v>96</v>
      </c>
      <c r="B82" s="8" t="s">
        <v>17</v>
      </c>
      <c r="C82" s="8" t="s">
        <v>18</v>
      </c>
      <c r="D82" s="9">
        <v>188</v>
      </c>
      <c r="E82" s="10">
        <v>138.07</v>
      </c>
      <c r="F82" s="19">
        <f>Tbl_Exportaciones2023[[#This Row],[Unidades]]*Tbl_Exportaciones2023[[#This Row],[Precio Unitario]]</f>
        <v>25957.16</v>
      </c>
    </row>
    <row r="83" spans="1:6" ht="17" x14ac:dyDescent="0.25">
      <c r="A83" s="7" t="s">
        <v>97</v>
      </c>
      <c r="B83" s="8" t="s">
        <v>12</v>
      </c>
      <c r="C83" s="8" t="s">
        <v>20</v>
      </c>
      <c r="D83" s="9">
        <v>174</v>
      </c>
      <c r="E83" s="10">
        <v>150.84</v>
      </c>
      <c r="F83" s="19">
        <f>Tbl_Exportaciones2023[[#This Row],[Unidades]]*Tbl_Exportaciones2023[[#This Row],[Precio Unitario]]</f>
        <v>26246.16</v>
      </c>
    </row>
    <row r="84" spans="1:6" ht="17" x14ac:dyDescent="0.25">
      <c r="A84" s="7" t="s">
        <v>58</v>
      </c>
      <c r="B84" s="8" t="s">
        <v>7</v>
      </c>
      <c r="C84" s="8" t="s">
        <v>11</v>
      </c>
      <c r="D84" s="9">
        <v>132</v>
      </c>
      <c r="E84" s="10">
        <v>241.45</v>
      </c>
      <c r="F84" s="19">
        <f>Tbl_Exportaciones2023[[#This Row],[Unidades]]*Tbl_Exportaciones2023[[#This Row],[Precio Unitario]]</f>
        <v>31871.399999999998</v>
      </c>
    </row>
    <row r="85" spans="1:6" ht="17" x14ac:dyDescent="0.25">
      <c r="A85" s="7" t="s">
        <v>98</v>
      </c>
      <c r="B85" s="8" t="s">
        <v>9</v>
      </c>
      <c r="C85" s="8" t="s">
        <v>14</v>
      </c>
      <c r="D85" s="9">
        <v>204</v>
      </c>
      <c r="E85" s="10">
        <v>192.44</v>
      </c>
      <c r="F85" s="19">
        <f>Tbl_Exportaciones2023[[#This Row],[Unidades]]*Tbl_Exportaciones2023[[#This Row],[Precio Unitario]]</f>
        <v>39257.760000000002</v>
      </c>
    </row>
    <row r="86" spans="1:6" ht="17" x14ac:dyDescent="0.25">
      <c r="A86" s="7" t="s">
        <v>99</v>
      </c>
      <c r="B86" s="8" t="s">
        <v>23</v>
      </c>
      <c r="C86" s="8" t="s">
        <v>13</v>
      </c>
      <c r="D86" s="9">
        <v>208</v>
      </c>
      <c r="E86" s="10">
        <v>134.88</v>
      </c>
      <c r="F86" s="19">
        <f>Tbl_Exportaciones2023[[#This Row],[Unidades]]*Tbl_Exportaciones2023[[#This Row],[Precio Unitario]]</f>
        <v>28055.040000000001</v>
      </c>
    </row>
    <row r="87" spans="1:6" ht="17" x14ac:dyDescent="0.25">
      <c r="A87" s="7" t="s">
        <v>97</v>
      </c>
      <c r="B87" s="8" t="s">
        <v>7</v>
      </c>
      <c r="C87" s="8" t="s">
        <v>19</v>
      </c>
      <c r="D87" s="9">
        <v>254</v>
      </c>
      <c r="E87" s="10">
        <v>170.38</v>
      </c>
      <c r="F87" s="19">
        <f>Tbl_Exportaciones2023[[#This Row],[Unidades]]*Tbl_Exportaciones2023[[#This Row],[Precio Unitario]]</f>
        <v>43276.52</v>
      </c>
    </row>
    <row r="88" spans="1:6" ht="17" x14ac:dyDescent="0.25">
      <c r="A88" s="7" t="s">
        <v>68</v>
      </c>
      <c r="B88" s="8" t="s">
        <v>22</v>
      </c>
      <c r="C88" s="8" t="s">
        <v>10</v>
      </c>
      <c r="D88" s="9">
        <v>118</v>
      </c>
      <c r="E88" s="10">
        <v>83.64</v>
      </c>
      <c r="F88" s="19">
        <f>Tbl_Exportaciones2023[[#This Row],[Unidades]]*Tbl_Exportaciones2023[[#This Row],[Precio Unitario]]</f>
        <v>9869.52</v>
      </c>
    </row>
    <row r="89" spans="1:6" ht="17" x14ac:dyDescent="0.25">
      <c r="A89" s="7" t="s">
        <v>100</v>
      </c>
      <c r="B89" s="8" t="s">
        <v>9</v>
      </c>
      <c r="C89" s="8" t="s">
        <v>18</v>
      </c>
      <c r="D89" s="9">
        <v>76</v>
      </c>
      <c r="E89" s="10">
        <v>98.05</v>
      </c>
      <c r="F89" s="19">
        <f>Tbl_Exportaciones2023[[#This Row],[Unidades]]*Tbl_Exportaciones2023[[#This Row],[Precio Unitario]]</f>
        <v>7451.8</v>
      </c>
    </row>
    <row r="90" spans="1:6" ht="17" x14ac:dyDescent="0.25">
      <c r="A90" s="7" t="s">
        <v>101</v>
      </c>
      <c r="B90" s="8" t="s">
        <v>9</v>
      </c>
      <c r="C90" s="8" t="s">
        <v>16</v>
      </c>
      <c r="D90" s="9">
        <v>102</v>
      </c>
      <c r="E90" s="10">
        <v>233.51</v>
      </c>
      <c r="F90" s="19">
        <f>Tbl_Exportaciones2023[[#This Row],[Unidades]]*Tbl_Exportaciones2023[[#This Row],[Precio Unitario]]</f>
        <v>23818.02</v>
      </c>
    </row>
    <row r="91" spans="1:6" ht="17" x14ac:dyDescent="0.25">
      <c r="A91" s="7" t="s">
        <v>102</v>
      </c>
      <c r="B91" s="8" t="s">
        <v>9</v>
      </c>
      <c r="C91" s="8" t="s">
        <v>14</v>
      </c>
      <c r="D91" s="9">
        <v>253</v>
      </c>
      <c r="E91" s="10">
        <v>188.17</v>
      </c>
      <c r="F91" s="19">
        <f>Tbl_Exportaciones2023[[#This Row],[Unidades]]*Tbl_Exportaciones2023[[#This Row],[Precio Unitario]]</f>
        <v>47607.009999999995</v>
      </c>
    </row>
    <row r="92" spans="1:6" ht="17" x14ac:dyDescent="0.25">
      <c r="A92" s="7" t="s">
        <v>103</v>
      </c>
      <c r="B92" s="8" t="s">
        <v>17</v>
      </c>
      <c r="C92" s="8" t="s">
        <v>21</v>
      </c>
      <c r="D92" s="9">
        <v>152</v>
      </c>
      <c r="E92" s="10">
        <v>50.88</v>
      </c>
      <c r="F92" s="19">
        <f>Tbl_Exportaciones2023[[#This Row],[Unidades]]*Tbl_Exportaciones2023[[#This Row],[Precio Unitario]]</f>
        <v>7733.76</v>
      </c>
    </row>
    <row r="93" spans="1:6" ht="17" x14ac:dyDescent="0.25">
      <c r="A93" s="7" t="s">
        <v>104</v>
      </c>
      <c r="B93" s="8" t="s">
        <v>22</v>
      </c>
      <c r="C93" s="8" t="s">
        <v>16</v>
      </c>
      <c r="D93" s="9">
        <v>295</v>
      </c>
      <c r="E93" s="10">
        <v>79.400000000000006</v>
      </c>
      <c r="F93" s="19">
        <f>Tbl_Exportaciones2023[[#This Row],[Unidades]]*Tbl_Exportaciones2023[[#This Row],[Precio Unitario]]</f>
        <v>23423</v>
      </c>
    </row>
    <row r="94" spans="1:6" ht="17" x14ac:dyDescent="0.25">
      <c r="A94" s="7" t="s">
        <v>105</v>
      </c>
      <c r="B94" s="8" t="s">
        <v>17</v>
      </c>
      <c r="C94" s="8" t="s">
        <v>19</v>
      </c>
      <c r="D94" s="9">
        <v>98</v>
      </c>
      <c r="E94" s="10">
        <v>220.77</v>
      </c>
      <c r="F94" s="19">
        <f>Tbl_Exportaciones2023[[#This Row],[Unidades]]*Tbl_Exportaciones2023[[#This Row],[Precio Unitario]]</f>
        <v>21635.460000000003</v>
      </c>
    </row>
    <row r="95" spans="1:6" ht="17" x14ac:dyDescent="0.25">
      <c r="A95" s="7" t="s">
        <v>106</v>
      </c>
      <c r="B95" s="8" t="s">
        <v>23</v>
      </c>
      <c r="C95" s="8" t="s">
        <v>18</v>
      </c>
      <c r="D95" s="9">
        <v>246</v>
      </c>
      <c r="E95" s="10">
        <v>173.15</v>
      </c>
      <c r="F95" s="19">
        <f>Tbl_Exportaciones2023[[#This Row],[Unidades]]*Tbl_Exportaciones2023[[#This Row],[Precio Unitario]]</f>
        <v>42594.9</v>
      </c>
    </row>
    <row r="96" spans="1:6" ht="17" x14ac:dyDescent="0.25">
      <c r="A96" s="7" t="s">
        <v>107</v>
      </c>
      <c r="B96" s="8" t="s">
        <v>23</v>
      </c>
      <c r="C96" s="8" t="s">
        <v>11</v>
      </c>
      <c r="D96" s="9">
        <v>79</v>
      </c>
      <c r="E96" s="10">
        <v>70.599999999999994</v>
      </c>
      <c r="F96" s="19">
        <f>Tbl_Exportaciones2023[[#This Row],[Unidades]]*Tbl_Exportaciones2023[[#This Row],[Precio Unitario]]</f>
        <v>5577.4</v>
      </c>
    </row>
    <row r="97" spans="1:6" ht="17" x14ac:dyDescent="0.25">
      <c r="A97" s="7" t="s">
        <v>108</v>
      </c>
      <c r="B97" s="8" t="s">
        <v>24</v>
      </c>
      <c r="C97" s="8" t="s">
        <v>8</v>
      </c>
      <c r="D97" s="9">
        <v>119</v>
      </c>
      <c r="E97" s="10">
        <v>170.39</v>
      </c>
      <c r="F97" s="19">
        <f>Tbl_Exportaciones2023[[#This Row],[Unidades]]*Tbl_Exportaciones2023[[#This Row],[Precio Unitario]]</f>
        <v>20276.41</v>
      </c>
    </row>
    <row r="98" spans="1:6" ht="17" x14ac:dyDescent="0.25">
      <c r="A98" s="7" t="s">
        <v>74</v>
      </c>
      <c r="B98" s="8" t="s">
        <v>24</v>
      </c>
      <c r="C98" s="8" t="s">
        <v>19</v>
      </c>
      <c r="D98" s="9">
        <v>101</v>
      </c>
      <c r="E98" s="10">
        <v>116.01</v>
      </c>
      <c r="F98" s="19">
        <f>Tbl_Exportaciones2023[[#This Row],[Unidades]]*Tbl_Exportaciones2023[[#This Row],[Precio Unitario]]</f>
        <v>11717.01</v>
      </c>
    </row>
    <row r="99" spans="1:6" ht="17" x14ac:dyDescent="0.25">
      <c r="A99" s="7" t="s">
        <v>109</v>
      </c>
      <c r="B99" s="8" t="s">
        <v>12</v>
      </c>
      <c r="C99" s="8" t="s">
        <v>8</v>
      </c>
      <c r="D99" s="9">
        <v>260</v>
      </c>
      <c r="E99" s="10">
        <v>98.76</v>
      </c>
      <c r="F99" s="19">
        <f>Tbl_Exportaciones2023[[#This Row],[Unidades]]*Tbl_Exportaciones2023[[#This Row],[Precio Unitario]]</f>
        <v>25677.600000000002</v>
      </c>
    </row>
    <row r="100" spans="1:6" ht="17" x14ac:dyDescent="0.25">
      <c r="A100" s="7" t="s">
        <v>27</v>
      </c>
      <c r="B100" s="8" t="s">
        <v>22</v>
      </c>
      <c r="C100" s="8" t="s">
        <v>21</v>
      </c>
      <c r="D100" s="9">
        <v>159</v>
      </c>
      <c r="E100" s="10">
        <v>151.69</v>
      </c>
      <c r="F100" s="19">
        <f>Tbl_Exportaciones2023[[#This Row],[Unidades]]*Tbl_Exportaciones2023[[#This Row],[Precio Unitario]]</f>
        <v>24118.71</v>
      </c>
    </row>
    <row r="101" spans="1:6" ht="17" x14ac:dyDescent="0.25">
      <c r="A101" s="7" t="s">
        <v>110</v>
      </c>
      <c r="B101" s="8" t="s">
        <v>9</v>
      </c>
      <c r="C101" s="8" t="s">
        <v>13</v>
      </c>
      <c r="D101" s="9">
        <v>224</v>
      </c>
      <c r="E101" s="10">
        <v>57.61</v>
      </c>
      <c r="F101" s="19">
        <f>Tbl_Exportaciones2023[[#This Row],[Unidades]]*Tbl_Exportaciones2023[[#This Row],[Precio Unitario]]</f>
        <v>12904.64</v>
      </c>
    </row>
    <row r="102" spans="1:6" ht="17" x14ac:dyDescent="0.25">
      <c r="A102" s="7" t="s">
        <v>111</v>
      </c>
      <c r="B102" s="8" t="s">
        <v>15</v>
      </c>
      <c r="C102" s="8" t="s">
        <v>8</v>
      </c>
      <c r="D102" s="9">
        <v>217</v>
      </c>
      <c r="E102" s="10">
        <v>89.07</v>
      </c>
      <c r="F102" s="19">
        <f>Tbl_Exportaciones2023[[#This Row],[Unidades]]*Tbl_Exportaciones2023[[#This Row],[Precio Unitario]]</f>
        <v>19328.189999999999</v>
      </c>
    </row>
    <row r="103" spans="1:6" ht="17" x14ac:dyDescent="0.25">
      <c r="A103" s="7" t="s">
        <v>112</v>
      </c>
      <c r="B103" s="8" t="s">
        <v>24</v>
      </c>
      <c r="C103" s="8" t="s">
        <v>8</v>
      </c>
      <c r="D103" s="9">
        <v>195</v>
      </c>
      <c r="E103" s="10">
        <v>71.56</v>
      </c>
      <c r="F103" s="19">
        <f>Tbl_Exportaciones2023[[#This Row],[Unidades]]*Tbl_Exportaciones2023[[#This Row],[Precio Unitario]]</f>
        <v>13954.2</v>
      </c>
    </row>
    <row r="104" spans="1:6" ht="17" x14ac:dyDescent="0.25">
      <c r="A104" s="7" t="s">
        <v>113</v>
      </c>
      <c r="B104" s="8" t="s">
        <v>23</v>
      </c>
      <c r="C104" s="8" t="s">
        <v>13</v>
      </c>
      <c r="D104" s="9">
        <v>177</v>
      </c>
      <c r="E104" s="10">
        <v>176.58</v>
      </c>
      <c r="F104" s="19">
        <f>Tbl_Exportaciones2023[[#This Row],[Unidades]]*Tbl_Exportaciones2023[[#This Row],[Precio Unitario]]</f>
        <v>31254.660000000003</v>
      </c>
    </row>
    <row r="105" spans="1:6" ht="17" x14ac:dyDescent="0.25">
      <c r="A105" s="7" t="s">
        <v>114</v>
      </c>
      <c r="B105" s="8" t="s">
        <v>7</v>
      </c>
      <c r="C105" s="8" t="s">
        <v>14</v>
      </c>
      <c r="D105" s="9">
        <v>300</v>
      </c>
      <c r="E105" s="10">
        <v>206.47</v>
      </c>
      <c r="F105" s="19">
        <f>Tbl_Exportaciones2023[[#This Row],[Unidades]]*Tbl_Exportaciones2023[[#This Row],[Precio Unitario]]</f>
        <v>61941</v>
      </c>
    </row>
    <row r="106" spans="1:6" ht="17" x14ac:dyDescent="0.25">
      <c r="A106" s="7" t="s">
        <v>115</v>
      </c>
      <c r="B106" s="8" t="s">
        <v>12</v>
      </c>
      <c r="C106" s="8" t="s">
        <v>18</v>
      </c>
      <c r="D106" s="9">
        <v>61</v>
      </c>
      <c r="E106" s="10">
        <v>144.41999999999999</v>
      </c>
      <c r="F106" s="19">
        <f>Tbl_Exportaciones2023[[#This Row],[Unidades]]*Tbl_Exportaciones2023[[#This Row],[Precio Unitario]]</f>
        <v>8809.619999999999</v>
      </c>
    </row>
    <row r="107" spans="1:6" ht="17" x14ac:dyDescent="0.25">
      <c r="A107" s="7" t="s">
        <v>116</v>
      </c>
      <c r="B107" s="8" t="s">
        <v>12</v>
      </c>
      <c r="C107" s="8" t="s">
        <v>18</v>
      </c>
      <c r="D107" s="9">
        <v>161</v>
      </c>
      <c r="E107" s="10">
        <v>194.17</v>
      </c>
      <c r="F107" s="19">
        <f>Tbl_Exportaciones2023[[#This Row],[Unidades]]*Tbl_Exportaciones2023[[#This Row],[Precio Unitario]]</f>
        <v>31261.37</v>
      </c>
    </row>
    <row r="108" spans="1:6" ht="17" x14ac:dyDescent="0.25">
      <c r="A108" s="7" t="s">
        <v>117</v>
      </c>
      <c r="B108" s="8" t="s">
        <v>17</v>
      </c>
      <c r="C108" s="8" t="s">
        <v>21</v>
      </c>
      <c r="D108" s="9">
        <v>191</v>
      </c>
      <c r="E108" s="10">
        <v>183.88</v>
      </c>
      <c r="F108" s="19">
        <f>Tbl_Exportaciones2023[[#This Row],[Unidades]]*Tbl_Exportaciones2023[[#This Row],[Precio Unitario]]</f>
        <v>35121.08</v>
      </c>
    </row>
    <row r="109" spans="1:6" ht="17" x14ac:dyDescent="0.25">
      <c r="A109" s="7" t="s">
        <v>118</v>
      </c>
      <c r="B109" s="8" t="s">
        <v>7</v>
      </c>
      <c r="C109" s="8" t="s">
        <v>20</v>
      </c>
      <c r="D109" s="9">
        <v>181</v>
      </c>
      <c r="E109" s="10">
        <v>73.77</v>
      </c>
      <c r="F109" s="19">
        <f>Tbl_Exportaciones2023[[#This Row],[Unidades]]*Tbl_Exportaciones2023[[#This Row],[Precio Unitario]]</f>
        <v>13352.369999999999</v>
      </c>
    </row>
    <row r="110" spans="1:6" ht="17" x14ac:dyDescent="0.25">
      <c r="A110" s="7" t="s">
        <v>28</v>
      </c>
      <c r="B110" s="8" t="s">
        <v>15</v>
      </c>
      <c r="C110" s="8" t="s">
        <v>11</v>
      </c>
      <c r="D110" s="9">
        <v>258</v>
      </c>
      <c r="E110" s="10">
        <v>119.34</v>
      </c>
      <c r="F110" s="19">
        <f>Tbl_Exportaciones2023[[#This Row],[Unidades]]*Tbl_Exportaciones2023[[#This Row],[Precio Unitario]]</f>
        <v>30789.72</v>
      </c>
    </row>
    <row r="111" spans="1:6" ht="17" x14ac:dyDescent="0.25">
      <c r="A111" s="7" t="s">
        <v>73</v>
      </c>
      <c r="B111" s="8" t="s">
        <v>15</v>
      </c>
      <c r="C111" s="8" t="s">
        <v>14</v>
      </c>
      <c r="D111" s="9">
        <v>152</v>
      </c>
      <c r="E111" s="10">
        <v>151.53</v>
      </c>
      <c r="F111" s="19">
        <f>Tbl_Exportaciones2023[[#This Row],[Unidades]]*Tbl_Exportaciones2023[[#This Row],[Precio Unitario]]</f>
        <v>23032.560000000001</v>
      </c>
    </row>
    <row r="112" spans="1:6" ht="17" x14ac:dyDescent="0.25">
      <c r="A112" s="7" t="s">
        <v>104</v>
      </c>
      <c r="B112" s="8" t="s">
        <v>12</v>
      </c>
      <c r="C112" s="8" t="s">
        <v>16</v>
      </c>
      <c r="D112" s="9">
        <v>256</v>
      </c>
      <c r="E112" s="10">
        <v>104.44</v>
      </c>
      <c r="F112" s="19">
        <f>Tbl_Exportaciones2023[[#This Row],[Unidades]]*Tbl_Exportaciones2023[[#This Row],[Precio Unitario]]</f>
        <v>26736.639999999999</v>
      </c>
    </row>
    <row r="113" spans="1:6" ht="17" x14ac:dyDescent="0.25">
      <c r="A113" s="7" t="s">
        <v>119</v>
      </c>
      <c r="B113" s="8" t="s">
        <v>9</v>
      </c>
      <c r="C113" s="8" t="s">
        <v>21</v>
      </c>
      <c r="D113" s="9">
        <v>274</v>
      </c>
      <c r="E113" s="10">
        <v>146.12</v>
      </c>
      <c r="F113" s="19">
        <f>Tbl_Exportaciones2023[[#This Row],[Unidades]]*Tbl_Exportaciones2023[[#This Row],[Precio Unitario]]</f>
        <v>40036.880000000005</v>
      </c>
    </row>
    <row r="114" spans="1:6" ht="17" x14ac:dyDescent="0.25">
      <c r="A114" s="7" t="s">
        <v>120</v>
      </c>
      <c r="B114" s="8" t="s">
        <v>9</v>
      </c>
      <c r="C114" s="8" t="s">
        <v>8</v>
      </c>
      <c r="D114" s="9">
        <v>224</v>
      </c>
      <c r="E114" s="10">
        <v>247.7</v>
      </c>
      <c r="F114" s="19">
        <f>Tbl_Exportaciones2023[[#This Row],[Unidades]]*Tbl_Exportaciones2023[[#This Row],[Precio Unitario]]</f>
        <v>55484.799999999996</v>
      </c>
    </row>
    <row r="115" spans="1:6" ht="17" x14ac:dyDescent="0.25">
      <c r="A115" s="7" t="s">
        <v>121</v>
      </c>
      <c r="B115" s="8" t="s">
        <v>7</v>
      </c>
      <c r="C115" s="8" t="s">
        <v>14</v>
      </c>
      <c r="D115" s="9">
        <v>273</v>
      </c>
      <c r="E115" s="10">
        <v>94.81</v>
      </c>
      <c r="F115" s="19">
        <f>Tbl_Exportaciones2023[[#This Row],[Unidades]]*Tbl_Exportaciones2023[[#This Row],[Precio Unitario]]</f>
        <v>25883.13</v>
      </c>
    </row>
    <row r="116" spans="1:6" ht="17" x14ac:dyDescent="0.25">
      <c r="A116" s="7" t="s">
        <v>122</v>
      </c>
      <c r="B116" s="8" t="s">
        <v>7</v>
      </c>
      <c r="C116" s="8" t="s">
        <v>19</v>
      </c>
      <c r="D116" s="9">
        <v>141</v>
      </c>
      <c r="E116" s="10">
        <v>54.7</v>
      </c>
      <c r="F116" s="19">
        <f>Tbl_Exportaciones2023[[#This Row],[Unidades]]*Tbl_Exportaciones2023[[#This Row],[Precio Unitario]]</f>
        <v>7712.7000000000007</v>
      </c>
    </row>
    <row r="117" spans="1:6" ht="17" x14ac:dyDescent="0.25">
      <c r="A117" s="7" t="s">
        <v>123</v>
      </c>
      <c r="B117" s="8" t="s">
        <v>24</v>
      </c>
      <c r="C117" s="8" t="s">
        <v>18</v>
      </c>
      <c r="D117" s="9">
        <v>61</v>
      </c>
      <c r="E117" s="10">
        <v>170.62</v>
      </c>
      <c r="F117" s="19">
        <f>Tbl_Exportaciones2023[[#This Row],[Unidades]]*Tbl_Exportaciones2023[[#This Row],[Precio Unitario]]</f>
        <v>10407.82</v>
      </c>
    </row>
    <row r="118" spans="1:6" ht="17" x14ac:dyDescent="0.25">
      <c r="A118" s="7" t="s">
        <v>65</v>
      </c>
      <c r="B118" s="8" t="s">
        <v>24</v>
      </c>
      <c r="C118" s="8" t="s">
        <v>20</v>
      </c>
      <c r="D118" s="9">
        <v>101</v>
      </c>
      <c r="E118" s="10">
        <v>213.27</v>
      </c>
      <c r="F118" s="19">
        <f>Tbl_Exportaciones2023[[#This Row],[Unidades]]*Tbl_Exportaciones2023[[#This Row],[Precio Unitario]]</f>
        <v>21540.27</v>
      </c>
    </row>
    <row r="119" spans="1:6" ht="17" x14ac:dyDescent="0.25">
      <c r="A119" s="7" t="s">
        <v>82</v>
      </c>
      <c r="B119" s="8" t="s">
        <v>17</v>
      </c>
      <c r="C119" s="8" t="s">
        <v>21</v>
      </c>
      <c r="D119" s="9">
        <v>240</v>
      </c>
      <c r="E119" s="10">
        <v>105.43</v>
      </c>
      <c r="F119" s="19">
        <f>Tbl_Exportaciones2023[[#This Row],[Unidades]]*Tbl_Exportaciones2023[[#This Row],[Precio Unitario]]</f>
        <v>25303.200000000001</v>
      </c>
    </row>
    <row r="120" spans="1:6" ht="17" x14ac:dyDescent="0.25">
      <c r="A120" s="7" t="s">
        <v>124</v>
      </c>
      <c r="B120" s="8" t="s">
        <v>7</v>
      </c>
      <c r="C120" s="8" t="s">
        <v>16</v>
      </c>
      <c r="D120" s="9">
        <v>218</v>
      </c>
      <c r="E120" s="10">
        <v>106.71</v>
      </c>
      <c r="F120" s="19">
        <f>Tbl_Exportaciones2023[[#This Row],[Unidades]]*Tbl_Exportaciones2023[[#This Row],[Precio Unitario]]</f>
        <v>23262.78</v>
      </c>
    </row>
    <row r="121" spans="1:6" ht="17" x14ac:dyDescent="0.25">
      <c r="A121" s="7" t="s">
        <v>36</v>
      </c>
      <c r="B121" s="8" t="s">
        <v>17</v>
      </c>
      <c r="C121" s="8" t="s">
        <v>8</v>
      </c>
      <c r="D121" s="9">
        <v>130</v>
      </c>
      <c r="E121" s="10">
        <v>177.05</v>
      </c>
      <c r="F121" s="19">
        <f>Tbl_Exportaciones2023[[#This Row],[Unidades]]*Tbl_Exportaciones2023[[#This Row],[Precio Unitario]]</f>
        <v>23016.5</v>
      </c>
    </row>
    <row r="122" spans="1:6" ht="17" x14ac:dyDescent="0.25">
      <c r="A122" s="7" t="s">
        <v>125</v>
      </c>
      <c r="B122" s="8" t="s">
        <v>15</v>
      </c>
      <c r="C122" s="8" t="s">
        <v>14</v>
      </c>
      <c r="D122" s="9">
        <v>190</v>
      </c>
      <c r="E122" s="10">
        <v>100.33</v>
      </c>
      <c r="F122" s="19">
        <f>Tbl_Exportaciones2023[[#This Row],[Unidades]]*Tbl_Exportaciones2023[[#This Row],[Precio Unitario]]</f>
        <v>19062.7</v>
      </c>
    </row>
    <row r="123" spans="1:6" ht="17" x14ac:dyDescent="0.25">
      <c r="A123" s="7" t="s">
        <v>126</v>
      </c>
      <c r="B123" s="8" t="s">
        <v>17</v>
      </c>
      <c r="C123" s="8" t="s">
        <v>8</v>
      </c>
      <c r="D123" s="9">
        <v>286</v>
      </c>
      <c r="E123" s="10">
        <v>91.4</v>
      </c>
      <c r="F123" s="19">
        <f>Tbl_Exportaciones2023[[#This Row],[Unidades]]*Tbl_Exportaciones2023[[#This Row],[Precio Unitario]]</f>
        <v>26140.400000000001</v>
      </c>
    </row>
    <row r="124" spans="1:6" ht="17" x14ac:dyDescent="0.25">
      <c r="A124" s="7" t="s">
        <v>127</v>
      </c>
      <c r="B124" s="8" t="s">
        <v>15</v>
      </c>
      <c r="C124" s="8" t="s">
        <v>18</v>
      </c>
      <c r="D124" s="9">
        <v>153</v>
      </c>
      <c r="E124" s="10">
        <v>109.06</v>
      </c>
      <c r="F124" s="19">
        <f>Tbl_Exportaciones2023[[#This Row],[Unidades]]*Tbl_Exportaciones2023[[#This Row],[Precio Unitario]]</f>
        <v>16686.18</v>
      </c>
    </row>
    <row r="125" spans="1:6" ht="17" x14ac:dyDescent="0.25">
      <c r="A125" s="7" t="s">
        <v>128</v>
      </c>
      <c r="B125" s="8" t="s">
        <v>12</v>
      </c>
      <c r="C125" s="8" t="s">
        <v>21</v>
      </c>
      <c r="D125" s="9">
        <v>160</v>
      </c>
      <c r="E125" s="10">
        <v>223.69</v>
      </c>
      <c r="F125" s="19">
        <f>Tbl_Exportaciones2023[[#This Row],[Unidades]]*Tbl_Exportaciones2023[[#This Row],[Precio Unitario]]</f>
        <v>35790.400000000001</v>
      </c>
    </row>
    <row r="126" spans="1:6" ht="17" x14ac:dyDescent="0.25">
      <c r="A126" s="7" t="s">
        <v>129</v>
      </c>
      <c r="B126" s="8" t="s">
        <v>12</v>
      </c>
      <c r="C126" s="8" t="s">
        <v>18</v>
      </c>
      <c r="D126" s="9">
        <v>66</v>
      </c>
      <c r="E126" s="10">
        <v>116.92</v>
      </c>
      <c r="F126" s="19">
        <f>Tbl_Exportaciones2023[[#This Row],[Unidades]]*Tbl_Exportaciones2023[[#This Row],[Precio Unitario]]</f>
        <v>7716.72</v>
      </c>
    </row>
    <row r="127" spans="1:6" ht="17" x14ac:dyDescent="0.25">
      <c r="A127" s="7" t="s">
        <v>130</v>
      </c>
      <c r="B127" s="8" t="s">
        <v>24</v>
      </c>
      <c r="C127" s="8" t="s">
        <v>18</v>
      </c>
      <c r="D127" s="9">
        <v>227</v>
      </c>
      <c r="E127" s="10">
        <v>55.05</v>
      </c>
      <c r="F127" s="19">
        <f>Tbl_Exportaciones2023[[#This Row],[Unidades]]*Tbl_Exportaciones2023[[#This Row],[Precio Unitario]]</f>
        <v>12496.349999999999</v>
      </c>
    </row>
    <row r="128" spans="1:6" ht="17" x14ac:dyDescent="0.25">
      <c r="A128" s="7" t="s">
        <v>131</v>
      </c>
      <c r="B128" s="8" t="s">
        <v>22</v>
      </c>
      <c r="C128" s="8" t="s">
        <v>14</v>
      </c>
      <c r="D128" s="9">
        <v>189</v>
      </c>
      <c r="E128" s="10">
        <v>142.97999999999999</v>
      </c>
      <c r="F128" s="19">
        <f>Tbl_Exportaciones2023[[#This Row],[Unidades]]*Tbl_Exportaciones2023[[#This Row],[Precio Unitario]]</f>
        <v>27023.219999999998</v>
      </c>
    </row>
    <row r="129" spans="1:6" ht="17" x14ac:dyDescent="0.25">
      <c r="A129" s="7" t="s">
        <v>89</v>
      </c>
      <c r="B129" s="8" t="s">
        <v>17</v>
      </c>
      <c r="C129" s="8" t="s">
        <v>16</v>
      </c>
      <c r="D129" s="9">
        <v>207</v>
      </c>
      <c r="E129" s="10">
        <v>59.38</v>
      </c>
      <c r="F129" s="19">
        <f>Tbl_Exportaciones2023[[#This Row],[Unidades]]*Tbl_Exportaciones2023[[#This Row],[Precio Unitario]]</f>
        <v>12291.66</v>
      </c>
    </row>
    <row r="130" spans="1:6" ht="17" x14ac:dyDescent="0.25">
      <c r="A130" s="7" t="s">
        <v>93</v>
      </c>
      <c r="B130" s="8" t="s">
        <v>23</v>
      </c>
      <c r="C130" s="8" t="s">
        <v>18</v>
      </c>
      <c r="D130" s="9">
        <v>241</v>
      </c>
      <c r="E130" s="10">
        <v>114.22</v>
      </c>
      <c r="F130" s="19">
        <f>Tbl_Exportaciones2023[[#This Row],[Unidades]]*Tbl_Exportaciones2023[[#This Row],[Precio Unitario]]</f>
        <v>27527.02</v>
      </c>
    </row>
    <row r="131" spans="1:6" ht="17" x14ac:dyDescent="0.25">
      <c r="A131" s="7" t="s">
        <v>131</v>
      </c>
      <c r="B131" s="8" t="s">
        <v>17</v>
      </c>
      <c r="C131" s="8" t="s">
        <v>14</v>
      </c>
      <c r="D131" s="9">
        <v>257</v>
      </c>
      <c r="E131" s="10">
        <v>95.25</v>
      </c>
      <c r="F131" s="19">
        <f>Tbl_Exportaciones2023[[#This Row],[Unidades]]*Tbl_Exportaciones2023[[#This Row],[Precio Unitario]]</f>
        <v>24479.25</v>
      </c>
    </row>
    <row r="132" spans="1:6" ht="17" x14ac:dyDescent="0.25">
      <c r="A132" s="7" t="s">
        <v>132</v>
      </c>
      <c r="B132" s="8" t="s">
        <v>23</v>
      </c>
      <c r="C132" s="8" t="s">
        <v>14</v>
      </c>
      <c r="D132" s="9">
        <v>136</v>
      </c>
      <c r="E132" s="10">
        <v>115.51</v>
      </c>
      <c r="F132" s="19">
        <f>Tbl_Exportaciones2023[[#This Row],[Unidades]]*Tbl_Exportaciones2023[[#This Row],[Precio Unitario]]</f>
        <v>15709.36</v>
      </c>
    </row>
    <row r="133" spans="1:6" ht="17" x14ac:dyDescent="0.25">
      <c r="A133" s="7" t="s">
        <v>133</v>
      </c>
      <c r="B133" s="8" t="s">
        <v>7</v>
      </c>
      <c r="C133" s="8" t="s">
        <v>10</v>
      </c>
      <c r="D133" s="9">
        <v>90</v>
      </c>
      <c r="E133" s="10">
        <v>122.77</v>
      </c>
      <c r="F133" s="19">
        <f>Tbl_Exportaciones2023[[#This Row],[Unidades]]*Tbl_Exportaciones2023[[#This Row],[Precio Unitario]]</f>
        <v>11049.3</v>
      </c>
    </row>
    <row r="134" spans="1:6" ht="17" x14ac:dyDescent="0.25">
      <c r="A134" s="7" t="s">
        <v>131</v>
      </c>
      <c r="B134" s="8" t="s">
        <v>7</v>
      </c>
      <c r="C134" s="8" t="s">
        <v>21</v>
      </c>
      <c r="D134" s="9">
        <v>109</v>
      </c>
      <c r="E134" s="10">
        <v>216.14</v>
      </c>
      <c r="F134" s="19">
        <f>Tbl_Exportaciones2023[[#This Row],[Unidades]]*Tbl_Exportaciones2023[[#This Row],[Precio Unitario]]</f>
        <v>23559.26</v>
      </c>
    </row>
    <row r="135" spans="1:6" ht="17" x14ac:dyDescent="0.25">
      <c r="A135" s="7" t="s">
        <v>134</v>
      </c>
      <c r="B135" s="8" t="s">
        <v>12</v>
      </c>
      <c r="C135" s="8" t="s">
        <v>16</v>
      </c>
      <c r="D135" s="9">
        <v>132</v>
      </c>
      <c r="E135" s="10">
        <v>148.03</v>
      </c>
      <c r="F135" s="19">
        <f>Tbl_Exportaciones2023[[#This Row],[Unidades]]*Tbl_Exportaciones2023[[#This Row],[Precio Unitario]]</f>
        <v>19539.96</v>
      </c>
    </row>
    <row r="136" spans="1:6" ht="17" x14ac:dyDescent="0.25">
      <c r="A136" s="7" t="s">
        <v>135</v>
      </c>
      <c r="B136" s="8" t="s">
        <v>22</v>
      </c>
      <c r="C136" s="8" t="s">
        <v>19</v>
      </c>
      <c r="D136" s="9">
        <v>93</v>
      </c>
      <c r="E136" s="10">
        <v>177.32</v>
      </c>
      <c r="F136" s="19">
        <f>Tbl_Exportaciones2023[[#This Row],[Unidades]]*Tbl_Exportaciones2023[[#This Row],[Precio Unitario]]</f>
        <v>16490.759999999998</v>
      </c>
    </row>
    <row r="137" spans="1:6" ht="17" x14ac:dyDescent="0.25">
      <c r="A137" s="7" t="s">
        <v>136</v>
      </c>
      <c r="B137" s="8" t="s">
        <v>24</v>
      </c>
      <c r="C137" s="8" t="s">
        <v>10</v>
      </c>
      <c r="D137" s="9">
        <v>169</v>
      </c>
      <c r="E137" s="10">
        <v>125.08</v>
      </c>
      <c r="F137" s="19">
        <f>Tbl_Exportaciones2023[[#This Row],[Unidades]]*Tbl_Exportaciones2023[[#This Row],[Precio Unitario]]</f>
        <v>21138.52</v>
      </c>
    </row>
    <row r="138" spans="1:6" ht="17" x14ac:dyDescent="0.25">
      <c r="A138" s="7" t="s">
        <v>117</v>
      </c>
      <c r="B138" s="8" t="s">
        <v>15</v>
      </c>
      <c r="C138" s="8" t="s">
        <v>10</v>
      </c>
      <c r="D138" s="9">
        <v>262</v>
      </c>
      <c r="E138" s="10">
        <v>92.61</v>
      </c>
      <c r="F138" s="19">
        <f>Tbl_Exportaciones2023[[#This Row],[Unidades]]*Tbl_Exportaciones2023[[#This Row],[Precio Unitario]]</f>
        <v>24263.82</v>
      </c>
    </row>
    <row r="139" spans="1:6" ht="17" x14ac:dyDescent="0.25">
      <c r="A139" s="7" t="s">
        <v>137</v>
      </c>
      <c r="B139" s="8" t="s">
        <v>9</v>
      </c>
      <c r="C139" s="8" t="s">
        <v>10</v>
      </c>
      <c r="D139" s="9">
        <v>229</v>
      </c>
      <c r="E139" s="10">
        <v>245.58</v>
      </c>
      <c r="F139" s="19">
        <f>Tbl_Exportaciones2023[[#This Row],[Unidades]]*Tbl_Exportaciones2023[[#This Row],[Precio Unitario]]</f>
        <v>56237.82</v>
      </c>
    </row>
    <row r="140" spans="1:6" ht="17" x14ac:dyDescent="0.25">
      <c r="A140" s="7" t="s">
        <v>133</v>
      </c>
      <c r="B140" s="8" t="s">
        <v>17</v>
      </c>
      <c r="C140" s="8" t="s">
        <v>18</v>
      </c>
      <c r="D140" s="9">
        <v>65</v>
      </c>
      <c r="E140" s="10">
        <v>135.1</v>
      </c>
      <c r="F140" s="19">
        <f>Tbl_Exportaciones2023[[#This Row],[Unidades]]*Tbl_Exportaciones2023[[#This Row],[Precio Unitario]]</f>
        <v>8781.5</v>
      </c>
    </row>
    <row r="141" spans="1:6" ht="17" x14ac:dyDescent="0.25">
      <c r="A141" s="7" t="s">
        <v>138</v>
      </c>
      <c r="B141" s="8" t="s">
        <v>15</v>
      </c>
      <c r="C141" s="8" t="s">
        <v>8</v>
      </c>
      <c r="D141" s="9">
        <v>52</v>
      </c>
      <c r="E141" s="10">
        <v>212.97</v>
      </c>
      <c r="F141" s="19">
        <f>Tbl_Exportaciones2023[[#This Row],[Unidades]]*Tbl_Exportaciones2023[[#This Row],[Precio Unitario]]</f>
        <v>11074.44</v>
      </c>
    </row>
    <row r="142" spans="1:6" ht="17" x14ac:dyDescent="0.25">
      <c r="A142" s="7" t="s">
        <v>139</v>
      </c>
      <c r="B142" s="8" t="s">
        <v>17</v>
      </c>
      <c r="C142" s="8" t="s">
        <v>10</v>
      </c>
      <c r="D142" s="9">
        <v>298</v>
      </c>
      <c r="E142" s="10">
        <v>113.91</v>
      </c>
      <c r="F142" s="19">
        <f>Tbl_Exportaciones2023[[#This Row],[Unidades]]*Tbl_Exportaciones2023[[#This Row],[Precio Unitario]]</f>
        <v>33945.18</v>
      </c>
    </row>
    <row r="143" spans="1:6" ht="17" x14ac:dyDescent="0.25">
      <c r="A143" s="7" t="s">
        <v>70</v>
      </c>
      <c r="B143" s="8" t="s">
        <v>12</v>
      </c>
      <c r="C143" s="8" t="s">
        <v>13</v>
      </c>
      <c r="D143" s="9">
        <v>179</v>
      </c>
      <c r="E143" s="10">
        <v>239.37</v>
      </c>
      <c r="F143" s="19">
        <f>Tbl_Exportaciones2023[[#This Row],[Unidades]]*Tbl_Exportaciones2023[[#This Row],[Precio Unitario]]</f>
        <v>42847.23</v>
      </c>
    </row>
    <row r="144" spans="1:6" ht="17" x14ac:dyDescent="0.25">
      <c r="A144" s="7" t="s">
        <v>140</v>
      </c>
      <c r="B144" s="8" t="s">
        <v>15</v>
      </c>
      <c r="C144" s="8" t="s">
        <v>13</v>
      </c>
      <c r="D144" s="9">
        <v>186</v>
      </c>
      <c r="E144" s="10">
        <v>120.05</v>
      </c>
      <c r="F144" s="19">
        <f>Tbl_Exportaciones2023[[#This Row],[Unidades]]*Tbl_Exportaciones2023[[#This Row],[Precio Unitario]]</f>
        <v>22329.3</v>
      </c>
    </row>
    <row r="145" spans="1:6" ht="17" x14ac:dyDescent="0.25">
      <c r="A145" s="7" t="s">
        <v>106</v>
      </c>
      <c r="B145" s="8" t="s">
        <v>12</v>
      </c>
      <c r="C145" s="8" t="s">
        <v>16</v>
      </c>
      <c r="D145" s="9">
        <v>270</v>
      </c>
      <c r="E145" s="10">
        <v>163.91</v>
      </c>
      <c r="F145" s="19">
        <f>Tbl_Exportaciones2023[[#This Row],[Unidades]]*Tbl_Exportaciones2023[[#This Row],[Precio Unitario]]</f>
        <v>44255.7</v>
      </c>
    </row>
    <row r="146" spans="1:6" ht="17" x14ac:dyDescent="0.25">
      <c r="A146" s="7" t="s">
        <v>141</v>
      </c>
      <c r="B146" s="8" t="s">
        <v>17</v>
      </c>
      <c r="C146" s="8" t="s">
        <v>20</v>
      </c>
      <c r="D146" s="9">
        <v>279</v>
      </c>
      <c r="E146" s="10">
        <v>237.6</v>
      </c>
      <c r="F146" s="19">
        <f>Tbl_Exportaciones2023[[#This Row],[Unidades]]*Tbl_Exportaciones2023[[#This Row],[Precio Unitario]]</f>
        <v>66290.399999999994</v>
      </c>
    </row>
    <row r="147" spans="1:6" ht="17" x14ac:dyDescent="0.25">
      <c r="A147" s="7" t="s">
        <v>142</v>
      </c>
      <c r="B147" s="8" t="s">
        <v>17</v>
      </c>
      <c r="C147" s="8" t="s">
        <v>18</v>
      </c>
      <c r="D147" s="9">
        <v>128</v>
      </c>
      <c r="E147" s="10">
        <v>178.25</v>
      </c>
      <c r="F147" s="19">
        <f>Tbl_Exportaciones2023[[#This Row],[Unidades]]*Tbl_Exportaciones2023[[#This Row],[Precio Unitario]]</f>
        <v>22816</v>
      </c>
    </row>
    <row r="148" spans="1:6" ht="17" x14ac:dyDescent="0.25">
      <c r="A148" s="7" t="s">
        <v>143</v>
      </c>
      <c r="B148" s="8" t="s">
        <v>12</v>
      </c>
      <c r="C148" s="8" t="s">
        <v>8</v>
      </c>
      <c r="D148" s="9">
        <v>253</v>
      </c>
      <c r="E148" s="10">
        <v>69.64</v>
      </c>
      <c r="F148" s="19">
        <f>Tbl_Exportaciones2023[[#This Row],[Unidades]]*Tbl_Exportaciones2023[[#This Row],[Precio Unitario]]</f>
        <v>17618.920000000002</v>
      </c>
    </row>
    <row r="149" spans="1:6" ht="17" x14ac:dyDescent="0.25">
      <c r="A149" s="7" t="s">
        <v>144</v>
      </c>
      <c r="B149" s="8" t="s">
        <v>17</v>
      </c>
      <c r="C149" s="8" t="s">
        <v>13</v>
      </c>
      <c r="D149" s="9">
        <v>153</v>
      </c>
      <c r="E149" s="10">
        <v>90.79</v>
      </c>
      <c r="F149" s="19">
        <f>Tbl_Exportaciones2023[[#This Row],[Unidades]]*Tbl_Exportaciones2023[[#This Row],[Precio Unitario]]</f>
        <v>13890.87</v>
      </c>
    </row>
    <row r="150" spans="1:6" ht="17" x14ac:dyDescent="0.25">
      <c r="A150" s="7" t="s">
        <v>130</v>
      </c>
      <c r="B150" s="8" t="s">
        <v>15</v>
      </c>
      <c r="C150" s="8" t="s">
        <v>16</v>
      </c>
      <c r="D150" s="9">
        <v>149</v>
      </c>
      <c r="E150" s="10">
        <v>162.63</v>
      </c>
      <c r="F150" s="19">
        <f>Tbl_Exportaciones2023[[#This Row],[Unidades]]*Tbl_Exportaciones2023[[#This Row],[Precio Unitario]]</f>
        <v>24231.87</v>
      </c>
    </row>
    <row r="151" spans="1:6" ht="17" x14ac:dyDescent="0.25">
      <c r="A151" s="7" t="s">
        <v>145</v>
      </c>
      <c r="B151" s="8" t="s">
        <v>12</v>
      </c>
      <c r="C151" s="8" t="s">
        <v>11</v>
      </c>
      <c r="D151" s="9">
        <v>152</v>
      </c>
      <c r="E151" s="10">
        <v>88.82</v>
      </c>
      <c r="F151" s="19">
        <f>Tbl_Exportaciones2023[[#This Row],[Unidades]]*Tbl_Exportaciones2023[[#This Row],[Precio Unitario]]</f>
        <v>13500.64</v>
      </c>
    </row>
    <row r="152" spans="1:6" ht="17" x14ac:dyDescent="0.25">
      <c r="A152" s="7" t="s">
        <v>141</v>
      </c>
      <c r="B152" s="8" t="s">
        <v>12</v>
      </c>
      <c r="C152" s="8" t="s">
        <v>19</v>
      </c>
      <c r="D152" s="9">
        <v>113</v>
      </c>
      <c r="E152" s="10">
        <v>128.12</v>
      </c>
      <c r="F152" s="19">
        <f>Tbl_Exportaciones2023[[#This Row],[Unidades]]*Tbl_Exportaciones2023[[#This Row],[Precio Unitario]]</f>
        <v>14477.560000000001</v>
      </c>
    </row>
    <row r="153" spans="1:6" ht="17" x14ac:dyDescent="0.25">
      <c r="A153" s="7" t="s">
        <v>114</v>
      </c>
      <c r="B153" s="8" t="s">
        <v>23</v>
      </c>
      <c r="C153" s="8" t="s">
        <v>16</v>
      </c>
      <c r="D153" s="9">
        <v>278</v>
      </c>
      <c r="E153" s="10">
        <v>204.75</v>
      </c>
      <c r="F153" s="19">
        <f>Tbl_Exportaciones2023[[#This Row],[Unidades]]*Tbl_Exportaciones2023[[#This Row],[Precio Unitario]]</f>
        <v>56920.5</v>
      </c>
    </row>
    <row r="154" spans="1:6" ht="17" x14ac:dyDescent="0.25">
      <c r="A154" s="7" t="s">
        <v>146</v>
      </c>
      <c r="B154" s="8" t="s">
        <v>23</v>
      </c>
      <c r="C154" s="8" t="s">
        <v>14</v>
      </c>
      <c r="D154" s="9">
        <v>172</v>
      </c>
      <c r="E154" s="10">
        <v>50.37</v>
      </c>
      <c r="F154" s="19">
        <f>Tbl_Exportaciones2023[[#This Row],[Unidades]]*Tbl_Exportaciones2023[[#This Row],[Precio Unitario]]</f>
        <v>8663.64</v>
      </c>
    </row>
    <row r="155" spans="1:6" ht="17" x14ac:dyDescent="0.25">
      <c r="A155" s="11" t="s">
        <v>100</v>
      </c>
      <c r="B155" s="12" t="s">
        <v>24</v>
      </c>
      <c r="C155" s="12" t="s">
        <v>8</v>
      </c>
      <c r="D155" s="13">
        <v>276</v>
      </c>
      <c r="E155" s="14">
        <v>130.53</v>
      </c>
      <c r="F155" s="20">
        <f>Tbl_Exportaciones2023[[#This Row],[Unidades]]*Tbl_Exportaciones2023[[#This Row],[Precio Unitario]]</f>
        <v>36026.28</v>
      </c>
    </row>
  </sheetData>
  <mergeCells count="2">
    <mergeCell ref="A1:E1"/>
    <mergeCell ref="A3:E3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C3B47-522B-5849-B0F7-EED3681E480F}">
  <dimension ref="A1:AZ79"/>
  <sheetViews>
    <sheetView tabSelected="1" topLeftCell="F1" zoomScale="82" workbookViewId="0">
      <selection activeCell="N5" sqref="N5"/>
    </sheetView>
  </sheetViews>
  <sheetFormatPr baseColWidth="10" defaultRowHeight="16" x14ac:dyDescent="0.2"/>
  <cols>
    <col min="1" max="1" width="14.83203125" customWidth="1"/>
    <col min="2" max="2" width="12.83203125" customWidth="1"/>
    <col min="3" max="3" width="16.5" customWidth="1"/>
    <col min="4" max="4" width="18.1640625" customWidth="1"/>
    <col min="5" max="5" width="13.5" customWidth="1"/>
    <col min="6" max="6" width="20.83203125" customWidth="1"/>
    <col min="7" max="7" width="23.33203125" customWidth="1"/>
    <col min="9" max="9" width="25.5" customWidth="1"/>
    <col min="10" max="10" width="13.6640625" customWidth="1"/>
    <col min="14" max="14" width="23.83203125" customWidth="1"/>
    <col min="15" max="15" width="25.1640625" customWidth="1"/>
  </cols>
  <sheetData>
    <row r="1" spans="1:52" ht="23" x14ac:dyDescent="0.3">
      <c r="A1" s="185" t="s">
        <v>147</v>
      </c>
      <c r="B1" s="185"/>
      <c r="C1" s="185"/>
      <c r="D1" s="185"/>
      <c r="E1" s="185"/>
      <c r="F1" s="185"/>
      <c r="G1" s="185"/>
      <c r="L1" s="1"/>
      <c r="M1" s="1"/>
      <c r="N1" s="185" t="s">
        <v>160</v>
      </c>
      <c r="O1" s="185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7" x14ac:dyDescent="0.25">
      <c r="I2" s="1"/>
      <c r="J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ht="18" thickBot="1" x14ac:dyDescent="0.3">
      <c r="A3" s="16" t="s">
        <v>3</v>
      </c>
      <c r="B3" s="16" t="s">
        <v>4</v>
      </c>
      <c r="C3" s="16" t="s">
        <v>148</v>
      </c>
      <c r="D3" s="16" t="s">
        <v>149</v>
      </c>
      <c r="E3" s="16" t="s">
        <v>150</v>
      </c>
      <c r="F3" s="16" t="s">
        <v>151</v>
      </c>
      <c r="G3" s="16" t="s">
        <v>153</v>
      </c>
      <c r="H3" s="1"/>
      <c r="I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17" x14ac:dyDescent="0.25">
      <c r="A4" s="1" t="s">
        <v>12</v>
      </c>
      <c r="B4" s="1" t="s">
        <v>10</v>
      </c>
      <c r="C4" s="21">
        <f>SUMIFS('1_Datos'!F:F,'1_Datos'!B:B,A4,'1_Datos'!C:C,B4)</f>
        <v>26230.29</v>
      </c>
      <c r="D4" s="21">
        <f xml:space="preserve"> AVERAGEIFS('1_Datos'!E:E, '1_Datos'!B:B, A4, '1_Datos'!C:C, B4)</f>
        <v>89.685000000000002</v>
      </c>
      <c r="E4" s="24" t="str">
        <f t="shared" ref="E4:E35" si="0">IF(D4 &gt;= $D$79, "Alto", "Bajo")</f>
        <v>Bajo</v>
      </c>
      <c r="F4" s="29" t="str">
        <f>Tbl_Modelo[[#This Row],[Producto]] &amp; " - " &amp; Tbl_Modelo[[#This Row],[País]]</f>
        <v>Aceite - Alemania</v>
      </c>
      <c r="G4" s="25" t="str">
        <f>IF(Tbl_Modelo[[#This Row],[Promedio (€)]]&gt;$D$79,"Alta",IF(ABS(Tbl_Modelo[[#This Row],[Promedio (€)]]-$D$79)&lt;=0.01,"Media","Baja"))</f>
        <v>Baja</v>
      </c>
      <c r="H4" s="1"/>
      <c r="I4" s="45" t="s">
        <v>154</v>
      </c>
      <c r="J4" s="28" t="s">
        <v>157</v>
      </c>
      <c r="K4" s="26"/>
      <c r="L4" s="1"/>
      <c r="M4" s="1"/>
      <c r="N4" s="47" t="s">
        <v>158</v>
      </c>
      <c r="O4" s="50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17" x14ac:dyDescent="0.25">
      <c r="A5" s="1" t="s">
        <v>12</v>
      </c>
      <c r="B5" s="1" t="s">
        <v>18</v>
      </c>
      <c r="C5" s="21">
        <f>SUMIFS('1_Datos'!F:F,'1_Datos'!B:B,A5,'1_Datos'!C:C,B5)</f>
        <v>47787.71</v>
      </c>
      <c r="D5" s="21">
        <f xml:space="preserve"> AVERAGEIFS('1_Datos'!E:E, '1_Datos'!B:B, A5, '1_Datos'!C:C, B5)</f>
        <v>151.83666666666667</v>
      </c>
      <c r="E5" s="24" t="str">
        <f t="shared" si="0"/>
        <v>Alto</v>
      </c>
      <c r="F5" s="29" t="str">
        <f>Tbl_Modelo[[#This Row],[Producto]] &amp; " - " &amp; Tbl_Modelo[[#This Row],[País]]</f>
        <v>Aceite - China</v>
      </c>
      <c r="G5" s="24" t="str">
        <f>IF(Tbl_Modelo[[#This Row],[Promedio (€)]]&gt;$D$79,"Alta",IF(ABS(Tbl_Modelo[[#This Row],[Promedio (€)]]-$D$79)&lt;=0.01,"Media","Baja"))</f>
        <v>Alta</v>
      </c>
      <c r="H5" s="1"/>
      <c r="I5" s="46" t="s">
        <v>156</v>
      </c>
      <c r="J5" s="27">
        <f>COUNTIF(Tbl_Modelo[Clasificación Rentabilidad],"Baja")</f>
        <v>37</v>
      </c>
      <c r="L5" s="1"/>
      <c r="M5" s="1"/>
      <c r="N5" s="48" t="s">
        <v>7</v>
      </c>
      <c r="O5" s="51" t="s">
        <v>161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ht="17" x14ac:dyDescent="0.25">
      <c r="A6" s="1" t="s">
        <v>12</v>
      </c>
      <c r="B6" s="1" t="s">
        <v>20</v>
      </c>
      <c r="C6" s="21">
        <f>SUMIFS('1_Datos'!F:F,'1_Datos'!B:B,A6,'1_Datos'!C:C,B6)</f>
        <v>53095.97</v>
      </c>
      <c r="D6" s="21">
        <f xml:space="preserve"> AVERAGEIFS('1_Datos'!E:E, '1_Datos'!B:B, A6, '1_Datos'!C:C, B6)</f>
        <v>131.125</v>
      </c>
      <c r="E6" s="24" t="str">
        <f t="shared" si="0"/>
        <v>Bajo</v>
      </c>
      <c r="F6" s="29" t="str">
        <f>Tbl_Modelo[[#This Row],[Producto]] &amp; " - " &amp; Tbl_Modelo[[#This Row],[País]]</f>
        <v>Aceite - EE.UU.</v>
      </c>
      <c r="G6" s="24" t="str">
        <f>IF(Tbl_Modelo[[#This Row],[Promedio (€)]]&gt;$D$79,"Alta",IF(ABS(Tbl_Modelo[[#This Row],[Promedio (€)]]-$D$79)&lt;=0.01,"Media","Baja"))</f>
        <v>Baja</v>
      </c>
      <c r="H6" s="1"/>
      <c r="I6" s="46" t="s">
        <v>169</v>
      </c>
      <c r="J6" s="27">
        <f>COUNTIF(Tbl_Modelo[Clasificación Rentabilidad],"Media")</f>
        <v>0</v>
      </c>
      <c r="L6" s="1"/>
      <c r="M6" s="1"/>
      <c r="N6" s="43"/>
      <c r="O6" s="42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ht="17" x14ac:dyDescent="0.25">
      <c r="A7" s="1" t="s">
        <v>12</v>
      </c>
      <c r="B7" s="1" t="s">
        <v>13</v>
      </c>
      <c r="C7" s="21">
        <f>SUMIFS('1_Datos'!F:F,'1_Datos'!B:B,A7,'1_Datos'!C:C,B7)</f>
        <v>80767.420000000013</v>
      </c>
      <c r="D7" s="21">
        <f xml:space="preserve"> AVERAGEIFS('1_Datos'!E:E, '1_Datos'!B:B, A7, '1_Datos'!C:C, B7)</f>
        <v>192.89</v>
      </c>
      <c r="E7" s="24" t="str">
        <f t="shared" si="0"/>
        <v>Alto</v>
      </c>
      <c r="F7" s="29" t="str">
        <f>Tbl_Modelo[[#This Row],[Producto]] &amp; " - " &amp; Tbl_Modelo[[#This Row],[País]]</f>
        <v>Aceite - España</v>
      </c>
      <c r="G7" s="24" t="str">
        <f>IF(Tbl_Modelo[[#This Row],[Promedio (€)]]&gt;$D$79,"Alta",IF(ABS(Tbl_Modelo[[#This Row],[Promedio (€)]]-$D$79)&lt;=0.01,"Media","Baja"))</f>
        <v>Alta</v>
      </c>
      <c r="H7" s="1"/>
      <c r="I7" s="76" t="s">
        <v>155</v>
      </c>
      <c r="J7" s="77">
        <f>COUNTIF(Tbl_Modelo[Clasificación Rentabilidad],"Alta")</f>
        <v>36</v>
      </c>
      <c r="L7" s="1"/>
      <c r="M7" s="1"/>
      <c r="N7" s="38" t="s">
        <v>4</v>
      </c>
      <c r="O7" s="34" t="s">
        <v>159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17" x14ac:dyDescent="0.25">
      <c r="A8" s="1" t="s">
        <v>12</v>
      </c>
      <c r="B8" s="1" t="s">
        <v>16</v>
      </c>
      <c r="C8" s="21">
        <f>SUMIFS('1_Datos'!F:F,'1_Datos'!B:B,A8,'1_Datos'!C:C,B8)</f>
        <v>152668.81</v>
      </c>
      <c r="D8" s="21">
        <f xml:space="preserve"> AVERAGEIFS('1_Datos'!E:E, '1_Datos'!B:B, A8, '1_Datos'!C:C, B8)</f>
        <v>157.11249999999998</v>
      </c>
      <c r="E8" s="24" t="str">
        <f t="shared" si="0"/>
        <v>Alto</v>
      </c>
      <c r="F8" s="29" t="str">
        <f>Tbl_Modelo[[#This Row],[Producto]] &amp; " - " &amp; Tbl_Modelo[[#This Row],[País]]</f>
        <v>Aceite - Francia</v>
      </c>
      <c r="G8" s="24" t="str">
        <f>IF(Tbl_Modelo[[#This Row],[Promedio (€)]]&gt;$D$79,"Alta",IF(ABS(Tbl_Modelo[[#This Row],[Promedio (€)]]-$D$79)&lt;=0.01,"Media","Baja"))</f>
        <v>Alta</v>
      </c>
      <c r="H8" s="1"/>
      <c r="I8" s="1"/>
      <c r="J8" s="1"/>
      <c r="L8" s="1"/>
      <c r="M8" s="1"/>
      <c r="N8" s="39" t="str" cm="1">
        <f t="array" ref="N8:N17">_xlfn._xlws.FILTER(Tbl_Modelo[País], Tbl_Modelo[Producto] =$N$5)</f>
        <v>Alemania</v>
      </c>
      <c r="O8" s="36" t="str" cm="1">
        <f t="array" ref="O8:O17">_xlfn._xlws.FILTER(Tbl_Modelo[Clasificación Rentabilidad], Tbl_Modelo[Producto]=$N$5)</f>
        <v>Alta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ht="17" x14ac:dyDescent="0.25">
      <c r="A9" s="1" t="s">
        <v>12</v>
      </c>
      <c r="B9" s="1" t="s">
        <v>8</v>
      </c>
      <c r="C9" s="21">
        <f>SUMIFS('1_Datos'!F:F,'1_Datos'!B:B,A9,'1_Datos'!C:C,B9)</f>
        <v>43296.520000000004</v>
      </c>
      <c r="D9" s="21">
        <f xml:space="preserve"> AVERAGEIFS('1_Datos'!E:E, '1_Datos'!B:B, A9, '1_Datos'!C:C, B9)</f>
        <v>84.2</v>
      </c>
      <c r="E9" s="24" t="str">
        <f t="shared" si="0"/>
        <v>Bajo</v>
      </c>
      <c r="F9" s="29" t="str">
        <f>Tbl_Modelo[[#This Row],[Producto]] &amp; " - " &amp; Tbl_Modelo[[#This Row],[País]]</f>
        <v>Aceite - Italia</v>
      </c>
      <c r="G9" s="24" t="str">
        <f>IF(Tbl_Modelo[[#This Row],[Promedio (€)]]&gt;$D$79,"Alta",IF(ABS(Tbl_Modelo[[#This Row],[Promedio (€)]]-$D$79)&lt;=0.01,"Media","Baja"))</f>
        <v>Baja</v>
      </c>
      <c r="H9" s="1"/>
      <c r="I9" s="1"/>
      <c r="J9" s="1"/>
      <c r="L9" s="1"/>
      <c r="M9" s="1"/>
      <c r="N9" s="40" t="str">
        <v>China</v>
      </c>
      <c r="O9" s="37" t="str">
        <v>Alta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ht="17" x14ac:dyDescent="0.25">
      <c r="A10" s="1" t="s">
        <v>12</v>
      </c>
      <c r="B10" s="1" t="s">
        <v>14</v>
      </c>
      <c r="C10" s="21">
        <f>SUMIFS('1_Datos'!F:F,'1_Datos'!B:B,A10,'1_Datos'!C:C,B10)</f>
        <v>22217.4</v>
      </c>
      <c r="D10" s="21">
        <f xml:space="preserve"> AVERAGEIFS('1_Datos'!E:E, '1_Datos'!B:B, A10, '1_Datos'!C:C, B10)</f>
        <v>123.43</v>
      </c>
      <c r="E10" s="24" t="str">
        <f t="shared" si="0"/>
        <v>Bajo</v>
      </c>
      <c r="F10" s="29" t="str">
        <f>Tbl_Modelo[[#This Row],[Producto]] &amp; " - " &amp; Tbl_Modelo[[#This Row],[País]]</f>
        <v>Aceite - Japón</v>
      </c>
      <c r="G10" s="24" t="str">
        <f>IF(Tbl_Modelo[[#This Row],[Promedio (€)]]&gt;$D$79,"Alta",IF(ABS(Tbl_Modelo[[#This Row],[Promedio (€)]]-$D$79)&lt;=0.01,"Media","Baja"))</f>
        <v>Baja</v>
      </c>
      <c r="H10" s="1"/>
      <c r="I10" s="1"/>
      <c r="J10" s="1"/>
      <c r="L10" s="1"/>
      <c r="M10" s="1"/>
      <c r="N10" s="40" t="str">
        <v>EE.UU.</v>
      </c>
      <c r="O10" s="37" t="str">
        <v>Baja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ht="17" x14ac:dyDescent="0.25">
      <c r="A11" s="1" t="s">
        <v>12</v>
      </c>
      <c r="B11" s="1" t="s">
        <v>19</v>
      </c>
      <c r="C11" s="21">
        <f>SUMIFS('1_Datos'!F:F,'1_Datos'!B:B,A11,'1_Datos'!C:C,B11)</f>
        <v>14477.560000000001</v>
      </c>
      <c r="D11" s="21">
        <f xml:space="preserve"> AVERAGEIFS('1_Datos'!E:E, '1_Datos'!B:B, A11, '1_Datos'!C:C, B11)</f>
        <v>128.12</v>
      </c>
      <c r="E11" s="24" t="str">
        <f t="shared" si="0"/>
        <v>Bajo</v>
      </c>
      <c r="F11" s="29" t="str">
        <f>Tbl_Modelo[[#This Row],[Producto]] &amp; " - " &amp; Tbl_Modelo[[#This Row],[País]]</f>
        <v>Aceite - México</v>
      </c>
      <c r="G11" s="24" t="str">
        <f>IF(Tbl_Modelo[[#This Row],[Promedio (€)]]&gt;$D$79,"Alta",IF(ABS(Tbl_Modelo[[#This Row],[Promedio (€)]]-$D$79)&lt;=0.01,"Media","Baja"))</f>
        <v>Baja</v>
      </c>
      <c r="H11" s="1"/>
      <c r="I11" s="1"/>
      <c r="J11" s="1"/>
      <c r="L11" s="1"/>
      <c r="M11" s="1"/>
      <c r="N11" s="40" t="str">
        <v>España</v>
      </c>
      <c r="O11" s="37" t="str">
        <v>Alta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ht="17" x14ac:dyDescent="0.25">
      <c r="A12" s="1" t="s">
        <v>12</v>
      </c>
      <c r="B12" s="1" t="s">
        <v>21</v>
      </c>
      <c r="C12" s="21">
        <f>SUMIFS('1_Datos'!F:F,'1_Datos'!B:B,A12,'1_Datos'!C:C,B12)</f>
        <v>35790.400000000001</v>
      </c>
      <c r="D12" s="21">
        <f xml:space="preserve"> AVERAGEIFS('1_Datos'!E:E, '1_Datos'!B:B, A12, '1_Datos'!C:C, B12)</f>
        <v>223.69</v>
      </c>
      <c r="E12" s="24" t="str">
        <f t="shared" si="0"/>
        <v>Alto</v>
      </c>
      <c r="F12" s="29" t="str">
        <f>Tbl_Modelo[[#This Row],[Producto]] &amp; " - " &amp; Tbl_Modelo[[#This Row],[País]]</f>
        <v>Aceite - Portugal</v>
      </c>
      <c r="G12" s="24" t="str">
        <f>IF(Tbl_Modelo[[#This Row],[Promedio (€)]]&gt;$D$79,"Alta",IF(ABS(Tbl_Modelo[[#This Row],[Promedio (€)]]-$D$79)&lt;=0.01,"Media","Baja"))</f>
        <v>Alta</v>
      </c>
      <c r="H12" s="1"/>
      <c r="I12" s="1"/>
      <c r="J12" s="1"/>
      <c r="L12" s="1"/>
      <c r="M12" s="1"/>
      <c r="N12" s="40" t="str">
        <v>Francia</v>
      </c>
      <c r="O12" s="37" t="str">
        <v>Baja</v>
      </c>
      <c r="P12" s="1"/>
      <c r="Q12" s="1"/>
      <c r="R12" s="1"/>
      <c r="S12" s="1"/>
      <c r="T12" s="44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ht="17" x14ac:dyDescent="0.25">
      <c r="A13" s="1" t="s">
        <v>12</v>
      </c>
      <c r="B13" s="1" t="s">
        <v>11</v>
      </c>
      <c r="C13" s="21">
        <f>SUMIFS('1_Datos'!F:F,'1_Datos'!B:B,A13,'1_Datos'!C:C,B13)</f>
        <v>25274.14</v>
      </c>
      <c r="D13" s="21">
        <f xml:space="preserve"> AVERAGEIFS('1_Datos'!E:E, '1_Datos'!B:B, A13, '1_Datos'!C:C, B13)</f>
        <v>122.89999999999999</v>
      </c>
      <c r="E13" s="24" t="str">
        <f t="shared" si="0"/>
        <v>Bajo</v>
      </c>
      <c r="F13" s="29" t="str">
        <f>Tbl_Modelo[[#This Row],[Producto]] &amp; " - " &amp; Tbl_Modelo[[#This Row],[País]]</f>
        <v>Aceite - Reino Unido</v>
      </c>
      <c r="G13" s="24" t="str">
        <f>IF(Tbl_Modelo[[#This Row],[Promedio (€)]]&gt;$D$79,"Alta",IF(ABS(Tbl_Modelo[[#This Row],[Promedio (€)]]-$D$79)&lt;=0.01,"Media","Baja"))</f>
        <v>Baja</v>
      </c>
      <c r="H13" s="1"/>
      <c r="I13" s="1"/>
      <c r="J13" s="1"/>
      <c r="L13" s="1"/>
      <c r="M13" s="1"/>
      <c r="N13" s="40" t="str">
        <v>Italia</v>
      </c>
      <c r="O13" s="37" t="str">
        <v>Alta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ht="17" x14ac:dyDescent="0.25">
      <c r="A14" s="1" t="s">
        <v>7</v>
      </c>
      <c r="B14" s="1" t="s">
        <v>10</v>
      </c>
      <c r="C14" s="21">
        <f>SUMIFS('1_Datos'!F:F,'1_Datos'!B:B,A14,'1_Datos'!C:C,B14)</f>
        <v>28311.839999999997</v>
      </c>
      <c r="D14" s="21">
        <f xml:space="preserve"> AVERAGEIFS('1_Datos'!E:E, '1_Datos'!B:B, A14, '1_Datos'!C:C, B14)</f>
        <v>160.595</v>
      </c>
      <c r="E14" s="24" t="str">
        <f t="shared" si="0"/>
        <v>Alto</v>
      </c>
      <c r="F14" s="29" t="str">
        <f>Tbl_Modelo[[#This Row],[Producto]] &amp; " - " &amp; Tbl_Modelo[[#This Row],[País]]</f>
        <v>Cerveza - Alemania</v>
      </c>
      <c r="G14" s="24" t="str">
        <f>IF(Tbl_Modelo[[#This Row],[Promedio (€)]]&gt;$D$79,"Alta",IF(ABS(Tbl_Modelo[[#This Row],[Promedio (€)]]-$D$79)&lt;=0.01,"Media","Baja"))</f>
        <v>Alta</v>
      </c>
      <c r="H14" s="1"/>
      <c r="I14" s="1"/>
      <c r="J14" s="1"/>
      <c r="L14" s="1"/>
      <c r="M14" s="1"/>
      <c r="N14" s="40" t="str">
        <v>Japón</v>
      </c>
      <c r="O14" s="37" t="str">
        <v>Alta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ht="17" x14ac:dyDescent="0.25">
      <c r="A15" s="1" t="s">
        <v>7</v>
      </c>
      <c r="B15" s="1" t="s">
        <v>18</v>
      </c>
      <c r="C15" s="21">
        <f>SUMIFS('1_Datos'!F:F,'1_Datos'!B:B,A15,'1_Datos'!C:C,B15)</f>
        <v>15516.849999999999</v>
      </c>
      <c r="D15" s="21">
        <f xml:space="preserve"> AVERAGEIFS('1_Datos'!E:E, '1_Datos'!B:B, A15, '1_Datos'!C:C, B15)</f>
        <v>186.95</v>
      </c>
      <c r="E15" s="24" t="str">
        <f t="shared" si="0"/>
        <v>Alto</v>
      </c>
      <c r="F15" s="29" t="str">
        <f>Tbl_Modelo[[#This Row],[Producto]] &amp; " - " &amp; Tbl_Modelo[[#This Row],[País]]</f>
        <v>Cerveza - China</v>
      </c>
      <c r="G15" s="24" t="str">
        <f>IF(Tbl_Modelo[[#This Row],[Promedio (€)]]&gt;$D$79,"Alta",IF(ABS(Tbl_Modelo[[#This Row],[Promedio (€)]]-$D$79)&lt;=0.01,"Media","Baja"))</f>
        <v>Alta</v>
      </c>
      <c r="H15" s="1"/>
      <c r="I15" s="1"/>
      <c r="J15" s="1"/>
      <c r="L15" s="1"/>
      <c r="M15" s="1"/>
      <c r="N15" s="40" t="str">
        <v>México</v>
      </c>
      <c r="O15" s="37" t="str">
        <v>Alta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17" x14ac:dyDescent="0.25">
      <c r="A16" s="1" t="s">
        <v>7</v>
      </c>
      <c r="B16" s="1" t="s">
        <v>20</v>
      </c>
      <c r="C16" s="21">
        <f>SUMIFS('1_Datos'!F:F,'1_Datos'!B:B,A16,'1_Datos'!C:C,B16)</f>
        <v>13352.369999999999</v>
      </c>
      <c r="D16" s="21">
        <f xml:space="preserve"> AVERAGEIFS('1_Datos'!E:E, '1_Datos'!B:B, A16, '1_Datos'!C:C, B16)</f>
        <v>73.77</v>
      </c>
      <c r="E16" s="24" t="str">
        <f t="shared" si="0"/>
        <v>Bajo</v>
      </c>
      <c r="F16" s="29" t="str">
        <f>Tbl_Modelo[[#This Row],[Producto]] &amp; " - " &amp; Tbl_Modelo[[#This Row],[País]]</f>
        <v>Cerveza - EE.UU.</v>
      </c>
      <c r="G16" s="24" t="str">
        <f>IF(Tbl_Modelo[[#This Row],[Promedio (€)]]&gt;$D$79,"Alta",IF(ABS(Tbl_Modelo[[#This Row],[Promedio (€)]]-$D$79)&lt;=0.01,"Media","Baja"))</f>
        <v>Baja</v>
      </c>
      <c r="H16" s="1"/>
      <c r="I16" s="1"/>
      <c r="J16" s="1"/>
      <c r="L16" s="1"/>
      <c r="M16" s="1"/>
      <c r="N16" s="40" t="str">
        <v>Portugal</v>
      </c>
      <c r="O16" s="37" t="str">
        <v>Alta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ht="18" thickBot="1" x14ac:dyDescent="0.3">
      <c r="A17" s="1" t="s">
        <v>7</v>
      </c>
      <c r="B17" s="1" t="s">
        <v>13</v>
      </c>
      <c r="C17" s="21">
        <f>SUMIFS('1_Datos'!F:F,'1_Datos'!B:B,A17,'1_Datos'!C:C,B17)</f>
        <v>78948.430000000008</v>
      </c>
      <c r="D17" s="21">
        <f xml:space="preserve"> AVERAGEIFS('1_Datos'!E:E, '1_Datos'!B:B, A17, '1_Datos'!C:C, B17)</f>
        <v>162.52666666666667</v>
      </c>
      <c r="E17" s="24" t="str">
        <f t="shared" si="0"/>
        <v>Alto</v>
      </c>
      <c r="F17" s="29" t="str">
        <f>Tbl_Modelo[[#This Row],[Producto]] &amp; " - " &amp; Tbl_Modelo[[#This Row],[País]]</f>
        <v>Cerveza - España</v>
      </c>
      <c r="G17" s="24" t="str">
        <f>IF(Tbl_Modelo[[#This Row],[Promedio (€)]]&gt;$D$79,"Alta",IF(ABS(Tbl_Modelo[[#This Row],[Promedio (€)]]-$D$79)&lt;=0.01,"Media","Baja"))</f>
        <v>Alta</v>
      </c>
      <c r="H17" s="1"/>
      <c r="I17" s="1"/>
      <c r="J17" s="1"/>
      <c r="L17" s="1"/>
      <c r="M17" s="1"/>
      <c r="N17" s="41" t="str">
        <v>Reino Unido</v>
      </c>
      <c r="O17" s="35" t="str">
        <v>Alta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ht="17" x14ac:dyDescent="0.25">
      <c r="A18" s="1" t="s">
        <v>7</v>
      </c>
      <c r="B18" s="1" t="s">
        <v>16</v>
      </c>
      <c r="C18" s="21">
        <f>SUMIFS('1_Datos'!F:F,'1_Datos'!B:B,A18,'1_Datos'!C:C,B18)</f>
        <v>23262.78</v>
      </c>
      <c r="D18" s="21">
        <f xml:space="preserve"> AVERAGEIFS('1_Datos'!E:E, '1_Datos'!B:B, A18, '1_Datos'!C:C, B18)</f>
        <v>106.71</v>
      </c>
      <c r="E18" s="24" t="str">
        <f t="shared" si="0"/>
        <v>Bajo</v>
      </c>
      <c r="F18" s="29" t="str">
        <f>Tbl_Modelo[[#This Row],[Producto]] &amp; " - " &amp; Tbl_Modelo[[#This Row],[País]]</f>
        <v>Cerveza - Francia</v>
      </c>
      <c r="G18" s="24" t="str">
        <f>IF(Tbl_Modelo[[#This Row],[Promedio (€)]]&gt;$D$79,"Alta",IF(ABS(Tbl_Modelo[[#This Row],[Promedio (€)]]-$D$79)&lt;=0.01,"Media","Baja"))</f>
        <v>Baja</v>
      </c>
      <c r="H18" s="1"/>
      <c r="I18" s="1"/>
      <c r="J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17" x14ac:dyDescent="0.25">
      <c r="A19" s="1" t="s">
        <v>7</v>
      </c>
      <c r="B19" s="1" t="s">
        <v>8</v>
      </c>
      <c r="C19" s="21">
        <f>SUMIFS('1_Datos'!F:F,'1_Datos'!B:B,A19,'1_Datos'!C:C,B19)</f>
        <v>60817.5</v>
      </c>
      <c r="D19" s="21">
        <f xml:space="preserve"> AVERAGEIFS('1_Datos'!E:E, '1_Datos'!B:B, A19, '1_Datos'!C:C, B19)</f>
        <v>243.27</v>
      </c>
      <c r="E19" s="24" t="str">
        <f t="shared" si="0"/>
        <v>Alto</v>
      </c>
      <c r="F19" s="29" t="str">
        <f>Tbl_Modelo[[#This Row],[Producto]] &amp; " - " &amp; Tbl_Modelo[[#This Row],[País]]</f>
        <v>Cerveza - Italia</v>
      </c>
      <c r="G19" s="24" t="str">
        <f>IF(Tbl_Modelo[[#This Row],[Promedio (€)]]&gt;$D$79,"Alta",IF(ABS(Tbl_Modelo[[#This Row],[Promedio (€)]]-$D$79)&lt;=0.01,"Media","Baja"))</f>
        <v>Alta</v>
      </c>
      <c r="H19" s="1"/>
      <c r="I19" s="1"/>
      <c r="J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ht="17" x14ac:dyDescent="0.25">
      <c r="A20" s="1" t="s">
        <v>7</v>
      </c>
      <c r="B20" s="1" t="s">
        <v>14</v>
      </c>
      <c r="C20" s="21">
        <f>SUMIFS('1_Datos'!F:F,'1_Datos'!B:B,A20,'1_Datos'!C:C,B20)</f>
        <v>177863.47</v>
      </c>
      <c r="D20" s="21">
        <f xml:space="preserve"> AVERAGEIFS('1_Datos'!E:E, '1_Datos'!B:B, A20, '1_Datos'!C:C, B20)</f>
        <v>146.47333333333333</v>
      </c>
      <c r="E20" s="24" t="str">
        <f t="shared" si="0"/>
        <v>Alto</v>
      </c>
      <c r="F20" s="29" t="str">
        <f>Tbl_Modelo[[#This Row],[Producto]] &amp; " - " &amp; Tbl_Modelo[[#This Row],[País]]</f>
        <v>Cerveza - Japón</v>
      </c>
      <c r="G20" s="24" t="str">
        <f>IF(Tbl_Modelo[[#This Row],[Promedio (€)]]&gt;$D$79,"Alta",IF(ABS(Tbl_Modelo[[#This Row],[Promedio (€)]]-$D$79)&lt;=0.01,"Media","Baja"))</f>
        <v>Alta</v>
      </c>
      <c r="H20" s="1"/>
      <c r="I20" s="1"/>
      <c r="J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7" x14ac:dyDescent="0.25">
      <c r="A21" s="1" t="s">
        <v>7</v>
      </c>
      <c r="B21" s="1" t="s">
        <v>19</v>
      </c>
      <c r="C21" s="21">
        <f>SUMIFS('1_Datos'!F:F,'1_Datos'!B:B,A21,'1_Datos'!C:C,B21)</f>
        <v>96867.42</v>
      </c>
      <c r="D21" s="21">
        <f xml:space="preserve"> AVERAGEIFS('1_Datos'!E:E, '1_Datos'!B:B, A21, '1_Datos'!C:C, B21)</f>
        <v>155.09333333333333</v>
      </c>
      <c r="E21" s="24" t="str">
        <f t="shared" si="0"/>
        <v>Alto</v>
      </c>
      <c r="F21" s="29" t="str">
        <f>Tbl_Modelo[[#This Row],[Producto]] &amp; " - " &amp; Tbl_Modelo[[#This Row],[País]]</f>
        <v>Cerveza - México</v>
      </c>
      <c r="G21" s="24" t="str">
        <f>IF(Tbl_Modelo[[#This Row],[Promedio (€)]]&gt;$D$79,"Alta",IF(ABS(Tbl_Modelo[[#This Row],[Promedio (€)]]-$D$79)&lt;=0.01,"Media","Baja"))</f>
        <v>Alta</v>
      </c>
      <c r="H21" s="1"/>
      <c r="I21" s="1"/>
      <c r="J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7" x14ac:dyDescent="0.25">
      <c r="A22" s="1" t="s">
        <v>7</v>
      </c>
      <c r="B22" s="1" t="s">
        <v>21</v>
      </c>
      <c r="C22" s="21">
        <f>SUMIFS('1_Datos'!F:F,'1_Datos'!B:B,A22,'1_Datos'!C:C,B22)</f>
        <v>39453.599999999999</v>
      </c>
      <c r="D22" s="21">
        <f xml:space="preserve"> AVERAGEIFS('1_Datos'!E:E, '1_Datos'!B:B, A22, '1_Datos'!C:C, B22)</f>
        <v>211.27999999999997</v>
      </c>
      <c r="E22" s="24" t="str">
        <f t="shared" si="0"/>
        <v>Alto</v>
      </c>
      <c r="F22" s="29" t="str">
        <f>Tbl_Modelo[[#This Row],[Producto]] &amp; " - " &amp; Tbl_Modelo[[#This Row],[País]]</f>
        <v>Cerveza - Portugal</v>
      </c>
      <c r="G22" s="24" t="str">
        <f>IF(Tbl_Modelo[[#This Row],[Promedio (€)]]&gt;$D$79,"Alta",IF(ABS(Tbl_Modelo[[#This Row],[Promedio (€)]]-$D$79)&lt;=0.01,"Media","Baja"))</f>
        <v>Alta</v>
      </c>
      <c r="H22" s="1"/>
      <c r="I22" s="1"/>
      <c r="J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7" x14ac:dyDescent="0.25">
      <c r="A23" s="1" t="s">
        <v>7</v>
      </c>
      <c r="B23" s="1" t="s">
        <v>11</v>
      </c>
      <c r="C23" s="21">
        <f>SUMIFS('1_Datos'!F:F,'1_Datos'!B:B,A23,'1_Datos'!C:C,B23)</f>
        <v>105247.29999999999</v>
      </c>
      <c r="D23" s="21">
        <f xml:space="preserve"> AVERAGEIFS('1_Datos'!E:E, '1_Datos'!B:B, A23, '1_Datos'!C:C, B23)</f>
        <v>194.19666666666663</v>
      </c>
      <c r="E23" s="24" t="str">
        <f t="shared" si="0"/>
        <v>Alto</v>
      </c>
      <c r="F23" s="29" t="str">
        <f>Tbl_Modelo[[#This Row],[Producto]] &amp; " - " &amp; Tbl_Modelo[[#This Row],[País]]</f>
        <v>Cerveza - Reino Unido</v>
      </c>
      <c r="G23" s="24" t="str">
        <f>IF(Tbl_Modelo[[#This Row],[Promedio (€)]]&gt;$D$79,"Alta",IF(ABS(Tbl_Modelo[[#This Row],[Promedio (€)]]-$D$79)&lt;=0.01,"Media","Baja"))</f>
        <v>Alta</v>
      </c>
      <c r="H23" s="1"/>
      <c r="I23" s="1"/>
      <c r="J23" s="1"/>
      <c r="L23" s="1"/>
      <c r="M23" s="1"/>
      <c r="N23" s="187" t="s">
        <v>246</v>
      </c>
      <c r="O23" s="187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7" x14ac:dyDescent="0.25">
      <c r="A24" s="1" t="s">
        <v>17</v>
      </c>
      <c r="B24" s="1" t="s">
        <v>10</v>
      </c>
      <c r="C24" s="21">
        <f>SUMIFS('1_Datos'!F:F,'1_Datos'!B:B,A24,'1_Datos'!C:C,B24)</f>
        <v>81502.28</v>
      </c>
      <c r="D24" s="21">
        <f xml:space="preserve"> AVERAGEIFS('1_Datos'!E:E, '1_Datos'!B:B, A24, '1_Datos'!C:C, B24)</f>
        <v>160.34</v>
      </c>
      <c r="E24" s="24" t="str">
        <f t="shared" si="0"/>
        <v>Alto</v>
      </c>
      <c r="F24" s="29" t="str">
        <f>Tbl_Modelo[[#This Row],[Producto]] &amp; " - " &amp; Tbl_Modelo[[#This Row],[País]]</f>
        <v>Cerámica - Alemania</v>
      </c>
      <c r="G24" s="24" t="str">
        <f>IF(Tbl_Modelo[[#This Row],[Promedio (€)]]&gt;$D$79,"Alta",IF(ABS(Tbl_Modelo[[#This Row],[Promedio (€)]]-$D$79)&lt;=0.01,"Media","Baja"))</f>
        <v>Alta</v>
      </c>
      <c r="H24" s="1"/>
      <c r="I24" s="1"/>
      <c r="J24" s="1"/>
      <c r="L24" s="1"/>
      <c r="M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7" x14ac:dyDescent="0.25">
      <c r="A25" s="1" t="s">
        <v>17</v>
      </c>
      <c r="B25" s="1" t="s">
        <v>18</v>
      </c>
      <c r="C25" s="21">
        <f>SUMIFS('1_Datos'!F:F,'1_Datos'!B:B,A25,'1_Datos'!C:C,B25)</f>
        <v>57554.66</v>
      </c>
      <c r="D25" s="21">
        <f xml:space="preserve"> AVERAGEIFS('1_Datos'!E:E, '1_Datos'!B:B, A25, '1_Datos'!C:C, B25)</f>
        <v>150.47333333333333</v>
      </c>
      <c r="E25" s="24" t="str">
        <f t="shared" si="0"/>
        <v>Alto</v>
      </c>
      <c r="F25" s="29" t="str">
        <f>Tbl_Modelo[[#This Row],[Producto]] &amp; " - " &amp; Tbl_Modelo[[#This Row],[País]]</f>
        <v>Cerámica - China</v>
      </c>
      <c r="G25" s="24" t="str">
        <f>IF(Tbl_Modelo[[#This Row],[Promedio (€)]]&gt;$D$79,"Alta",IF(ABS(Tbl_Modelo[[#This Row],[Promedio (€)]]-$D$79)&lt;=0.01,"Media","Baja"))</f>
        <v>Alta</v>
      </c>
      <c r="H25" s="1"/>
      <c r="I25" s="1"/>
      <c r="J25" s="1"/>
      <c r="L25" s="1"/>
      <c r="M25" s="1"/>
      <c r="N25" s="160" t="s">
        <v>4</v>
      </c>
      <c r="O25" s="161" t="s">
        <v>247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7" x14ac:dyDescent="0.25">
      <c r="A26" s="1" t="s">
        <v>17</v>
      </c>
      <c r="B26" s="1" t="s">
        <v>20</v>
      </c>
      <c r="C26" s="21">
        <f>SUMIFS('1_Datos'!F:F,'1_Datos'!B:B,A26,'1_Datos'!C:C,B26)</f>
        <v>109036.48</v>
      </c>
      <c r="D26" s="21">
        <f xml:space="preserve"> AVERAGEIFS('1_Datos'!E:E, '1_Datos'!B:B, A26, '1_Datos'!C:C, B26)</f>
        <v>221.55500000000001</v>
      </c>
      <c r="E26" s="24" t="str">
        <f t="shared" si="0"/>
        <v>Alto</v>
      </c>
      <c r="F26" s="29" t="str">
        <f>Tbl_Modelo[[#This Row],[Producto]] &amp; " - " &amp; Tbl_Modelo[[#This Row],[País]]</f>
        <v>Cerámica - EE.UU.</v>
      </c>
      <c r="G26" s="24" t="str">
        <f>IF(Tbl_Modelo[[#This Row],[Promedio (€)]]&gt;$D$79,"Alta",IF(ABS(Tbl_Modelo[[#This Row],[Promedio (€)]]-$D$79)&lt;=0.01,"Media","Baja"))</f>
        <v>Alta</v>
      </c>
      <c r="H26" s="1"/>
      <c r="I26" s="1"/>
      <c r="J26" s="1"/>
      <c r="L26" s="1"/>
      <c r="M26" s="1"/>
      <c r="N26" s="128" t="str" cm="1">
        <f t="array" ref="N26:N35">_xlfn._xlws.FILTER(Tbl_Modelo[País], Tbl_Modelo[Producto] = '2_Modelo'!N5)</f>
        <v>Alemania</v>
      </c>
      <c r="O26" s="165">
        <f>SUMIF(B4:B76, N26, C4:C76)</f>
        <v>417616.61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7" x14ac:dyDescent="0.25">
      <c r="A27" s="1" t="s">
        <v>17</v>
      </c>
      <c r="B27" s="1" t="s">
        <v>13</v>
      </c>
      <c r="C27" s="21">
        <f>SUMIFS('1_Datos'!F:F,'1_Datos'!B:B,A27,'1_Datos'!C:C,B27)</f>
        <v>13890.87</v>
      </c>
      <c r="D27" s="21">
        <f xml:space="preserve"> AVERAGEIFS('1_Datos'!E:E, '1_Datos'!B:B, A27, '1_Datos'!C:C, B27)</f>
        <v>90.79</v>
      </c>
      <c r="E27" s="24" t="str">
        <f t="shared" si="0"/>
        <v>Bajo</v>
      </c>
      <c r="F27" s="29" t="str">
        <f>Tbl_Modelo[[#This Row],[Producto]] &amp; " - " &amp; Tbl_Modelo[[#This Row],[País]]</f>
        <v>Cerámica - España</v>
      </c>
      <c r="G27" s="24" t="str">
        <f>IF(Tbl_Modelo[[#This Row],[Promedio (€)]]&gt;$D$79,"Alta",IF(ABS(Tbl_Modelo[[#This Row],[Promedio (€)]]-$D$79)&lt;=0.01,"Media","Baja"))</f>
        <v>Baja</v>
      </c>
      <c r="H27" s="1"/>
      <c r="I27" s="1"/>
      <c r="J27" s="1"/>
      <c r="L27" s="1"/>
      <c r="M27" s="1"/>
      <c r="N27" s="162" t="str">
        <v>China</v>
      </c>
      <c r="O27" s="165">
        <f t="shared" ref="O27:O35" si="1">SUMIF(B5:B77, N27, C5:C77)</f>
        <v>325258.38999999996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7" x14ac:dyDescent="0.25">
      <c r="A28" s="1" t="s">
        <v>17</v>
      </c>
      <c r="B28" s="1" t="s">
        <v>16</v>
      </c>
      <c r="C28" s="21">
        <f>SUMIFS('1_Datos'!F:F,'1_Datos'!B:B,A28,'1_Datos'!C:C,B28)</f>
        <v>22089.03</v>
      </c>
      <c r="D28" s="21">
        <f xml:space="preserve"> AVERAGEIFS('1_Datos'!E:E, '1_Datos'!B:B, A28, '1_Datos'!C:C, B28)</f>
        <v>70.174999999999997</v>
      </c>
      <c r="E28" s="24" t="str">
        <f t="shared" si="0"/>
        <v>Bajo</v>
      </c>
      <c r="F28" s="29" t="str">
        <f>Tbl_Modelo[[#This Row],[Producto]] &amp; " - " &amp; Tbl_Modelo[[#This Row],[País]]</f>
        <v>Cerámica - Francia</v>
      </c>
      <c r="G28" s="24" t="str">
        <f>IF(Tbl_Modelo[[#This Row],[Promedio (€)]]&gt;$D$79,"Alta",IF(ABS(Tbl_Modelo[[#This Row],[Promedio (€)]]-$D$79)&lt;=0.01,"Media","Baja"))</f>
        <v>Baja</v>
      </c>
      <c r="H28" s="1"/>
      <c r="I28" s="1"/>
      <c r="J28" s="1"/>
      <c r="L28" s="1"/>
      <c r="M28" s="1"/>
      <c r="N28" s="163" t="str">
        <v>EE.UU.</v>
      </c>
      <c r="O28" s="165">
        <f t="shared" si="1"/>
        <v>307327.71000000002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7" x14ac:dyDescent="0.25">
      <c r="A29" s="1" t="s">
        <v>17</v>
      </c>
      <c r="B29" s="1" t="s">
        <v>8</v>
      </c>
      <c r="C29" s="21">
        <f>SUMIFS('1_Datos'!F:F,'1_Datos'!B:B,A29,'1_Datos'!C:C,B29)</f>
        <v>49156.9</v>
      </c>
      <c r="D29" s="21">
        <f xml:space="preserve"> AVERAGEIFS('1_Datos'!E:E, '1_Datos'!B:B, A29, '1_Datos'!C:C, B29)</f>
        <v>134.22500000000002</v>
      </c>
      <c r="E29" s="24" t="str">
        <f t="shared" si="0"/>
        <v>Bajo</v>
      </c>
      <c r="F29" s="29" t="str">
        <f>Tbl_Modelo[[#This Row],[Producto]] &amp; " - " &amp; Tbl_Modelo[[#This Row],[País]]</f>
        <v>Cerámica - Italia</v>
      </c>
      <c r="G29" s="24" t="str">
        <f>IF(Tbl_Modelo[[#This Row],[Promedio (€)]]&gt;$D$79,"Alta",IF(ABS(Tbl_Modelo[[#This Row],[Promedio (€)]]-$D$79)&lt;=0.01,"Media","Baja"))</f>
        <v>Baja</v>
      </c>
      <c r="H29" s="1"/>
      <c r="I29" s="1"/>
      <c r="J29" s="1"/>
      <c r="L29" s="1"/>
      <c r="M29" s="1"/>
      <c r="N29" s="163" t="str">
        <v>España</v>
      </c>
      <c r="O29" s="165">
        <f t="shared" si="1"/>
        <v>310035.5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7" x14ac:dyDescent="0.25">
      <c r="A30" s="1" t="s">
        <v>17</v>
      </c>
      <c r="B30" s="1" t="s">
        <v>14</v>
      </c>
      <c r="C30" s="21">
        <f>SUMIFS('1_Datos'!F:F,'1_Datos'!B:B,A30,'1_Datos'!C:C,B30)</f>
        <v>35134.32</v>
      </c>
      <c r="D30" s="21">
        <f xml:space="preserve"> AVERAGEIFS('1_Datos'!E:E, '1_Datos'!B:B, A30, '1_Datos'!C:C, B30)</f>
        <v>78.42</v>
      </c>
      <c r="E30" s="24" t="str">
        <f t="shared" si="0"/>
        <v>Bajo</v>
      </c>
      <c r="F30" s="29" t="str">
        <f>Tbl_Modelo[[#This Row],[Producto]] &amp; " - " &amp; Tbl_Modelo[[#This Row],[País]]</f>
        <v>Cerámica - Japón</v>
      </c>
      <c r="G30" s="24" t="str">
        <f>IF(Tbl_Modelo[[#This Row],[Promedio (€)]]&gt;$D$79,"Alta",IF(ABS(Tbl_Modelo[[#This Row],[Promedio (€)]]-$D$79)&lt;=0.01,"Media","Baja"))</f>
        <v>Baja</v>
      </c>
      <c r="H30" s="1"/>
      <c r="I30" s="1"/>
      <c r="J30" s="1"/>
      <c r="L30" s="1"/>
      <c r="M30" s="1"/>
      <c r="N30" s="163" t="str">
        <v>Francia</v>
      </c>
      <c r="O30" s="165">
        <f t="shared" si="1"/>
        <v>508619.83999999997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7" x14ac:dyDescent="0.25">
      <c r="A31" s="1" t="s">
        <v>17</v>
      </c>
      <c r="B31" s="1" t="s">
        <v>19</v>
      </c>
      <c r="C31" s="21">
        <f>SUMIFS('1_Datos'!F:F,'1_Datos'!B:B,A31,'1_Datos'!C:C,B31)</f>
        <v>110479.39</v>
      </c>
      <c r="D31" s="21">
        <f xml:space="preserve"> AVERAGEIFS('1_Datos'!E:E, '1_Datos'!B:B, A31, '1_Datos'!C:C, B31)</f>
        <v>225.84</v>
      </c>
      <c r="E31" s="24" t="str">
        <f t="shared" si="0"/>
        <v>Alto</v>
      </c>
      <c r="F31" s="29" t="str">
        <f>Tbl_Modelo[[#This Row],[Producto]] &amp; " - " &amp; Tbl_Modelo[[#This Row],[País]]</f>
        <v>Cerámica - México</v>
      </c>
      <c r="G31" s="24" t="str">
        <f>IF(Tbl_Modelo[[#This Row],[Promedio (€)]]&gt;$D$79,"Alta",IF(ABS(Tbl_Modelo[[#This Row],[Promedio (€)]]-$D$79)&lt;=0.01,"Media","Baja"))</f>
        <v>Alta</v>
      </c>
      <c r="H31" s="1"/>
      <c r="I31" s="1"/>
      <c r="J31" s="1"/>
      <c r="L31" s="1"/>
      <c r="M31" s="1"/>
      <c r="N31" s="163" t="str">
        <v>Italia</v>
      </c>
      <c r="O31" s="165">
        <f t="shared" si="1"/>
        <v>377978.31999999995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7" x14ac:dyDescent="0.25">
      <c r="A32" s="1" t="s">
        <v>17</v>
      </c>
      <c r="B32" s="1" t="s">
        <v>21</v>
      </c>
      <c r="C32" s="21">
        <f>SUMIFS('1_Datos'!F:F,'1_Datos'!B:B,A32,'1_Datos'!C:C,B32)</f>
        <v>95648.3</v>
      </c>
      <c r="D32" s="21">
        <f xml:space="preserve"> AVERAGEIFS('1_Datos'!E:E, '1_Datos'!B:B, A32, '1_Datos'!C:C, B32)</f>
        <v>118.90249999999999</v>
      </c>
      <c r="E32" s="24" t="str">
        <f t="shared" si="0"/>
        <v>Bajo</v>
      </c>
      <c r="F32" s="29" t="str">
        <f>Tbl_Modelo[[#This Row],[Producto]] &amp; " - " &amp; Tbl_Modelo[[#This Row],[País]]</f>
        <v>Cerámica - Portugal</v>
      </c>
      <c r="G32" s="24" t="str">
        <f>IF(Tbl_Modelo[[#This Row],[Promedio (€)]]&gt;$D$79,"Alta",IF(ABS(Tbl_Modelo[[#This Row],[Promedio (€)]]-$D$79)&lt;=0.01,"Media","Baja"))</f>
        <v>Baja</v>
      </c>
      <c r="H32" s="1"/>
      <c r="I32" s="1"/>
      <c r="J32" s="1"/>
      <c r="L32" s="1"/>
      <c r="M32" s="1"/>
      <c r="N32" s="163" t="str">
        <v>Japón</v>
      </c>
      <c r="O32" s="165">
        <f t="shared" si="1"/>
        <v>483993.65999999992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7" x14ac:dyDescent="0.25">
      <c r="A33" s="1" t="s">
        <v>24</v>
      </c>
      <c r="B33" s="1" t="s">
        <v>10</v>
      </c>
      <c r="C33" s="21">
        <f>SUMIFS('1_Datos'!F:F,'1_Datos'!B:B,A33,'1_Datos'!C:C,B33)</f>
        <v>21138.52</v>
      </c>
      <c r="D33" s="21">
        <f xml:space="preserve"> AVERAGEIFS('1_Datos'!E:E, '1_Datos'!B:B, A33, '1_Datos'!C:C, B33)</f>
        <v>125.08</v>
      </c>
      <c r="E33" s="24" t="str">
        <f t="shared" si="0"/>
        <v>Bajo</v>
      </c>
      <c r="F33" s="29" t="str">
        <f>Tbl_Modelo[[#This Row],[Producto]] &amp; " - " &amp; Tbl_Modelo[[#This Row],[País]]</f>
        <v>Chocolate - Alemania</v>
      </c>
      <c r="G33" s="24" t="str">
        <f>IF(Tbl_Modelo[[#This Row],[Promedio (€)]]&gt;$D$79,"Alta",IF(ABS(Tbl_Modelo[[#This Row],[Promedio (€)]]-$D$79)&lt;=0.01,"Media","Baja"))</f>
        <v>Baja</v>
      </c>
      <c r="H33" s="1"/>
      <c r="I33" s="1"/>
      <c r="J33" s="1"/>
      <c r="L33" s="1"/>
      <c r="M33" s="1"/>
      <c r="N33" s="163" t="str">
        <v>México</v>
      </c>
      <c r="O33" s="165">
        <f t="shared" si="1"/>
        <v>410503.16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7" x14ac:dyDescent="0.25">
      <c r="A34" s="1" t="s">
        <v>24</v>
      </c>
      <c r="B34" s="1" t="s">
        <v>18</v>
      </c>
      <c r="C34" s="21">
        <f>SUMIFS('1_Datos'!F:F,'1_Datos'!B:B,A34,'1_Datos'!C:C,B34)</f>
        <v>42067.369999999995</v>
      </c>
      <c r="D34" s="21">
        <f xml:space="preserve"> AVERAGEIFS('1_Datos'!E:E, '1_Datos'!B:B, A34, '1_Datos'!C:C, B34)</f>
        <v>130.29</v>
      </c>
      <c r="E34" s="24" t="str">
        <f t="shared" si="0"/>
        <v>Bajo</v>
      </c>
      <c r="F34" s="29" t="str">
        <f>Tbl_Modelo[[#This Row],[Producto]] &amp; " - " &amp; Tbl_Modelo[[#This Row],[País]]</f>
        <v>Chocolate - China</v>
      </c>
      <c r="G34" s="24" t="str">
        <f>IF(Tbl_Modelo[[#This Row],[Promedio (€)]]&gt;$D$79,"Alta",IF(ABS(Tbl_Modelo[[#This Row],[Promedio (€)]]-$D$79)&lt;=0.01,"Media","Baja"))</f>
        <v>Baja</v>
      </c>
      <c r="H34" s="1"/>
      <c r="I34" s="1"/>
      <c r="J34" s="1"/>
      <c r="L34" s="1"/>
      <c r="M34" s="1"/>
      <c r="N34" s="163" t="str">
        <v>Portugal</v>
      </c>
      <c r="O34" s="165">
        <f t="shared" si="1"/>
        <v>384660.68999999994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7" x14ac:dyDescent="0.25">
      <c r="A35" s="1" t="s">
        <v>24</v>
      </c>
      <c r="B35" s="1" t="s">
        <v>20</v>
      </c>
      <c r="C35" s="21">
        <f>SUMIFS('1_Datos'!F:F,'1_Datos'!B:B,A35,'1_Datos'!C:C,B35)</f>
        <v>21540.27</v>
      </c>
      <c r="D35" s="21">
        <f xml:space="preserve"> AVERAGEIFS('1_Datos'!E:E, '1_Datos'!B:B, A35, '1_Datos'!C:C, B35)</f>
        <v>213.27</v>
      </c>
      <c r="E35" s="24" t="str">
        <f t="shared" si="0"/>
        <v>Alto</v>
      </c>
      <c r="F35" s="29" t="str">
        <f>Tbl_Modelo[[#This Row],[Producto]] &amp; " - " &amp; Tbl_Modelo[[#This Row],[País]]</f>
        <v>Chocolate - EE.UU.</v>
      </c>
      <c r="G35" s="24" t="str">
        <f>IF(Tbl_Modelo[[#This Row],[Promedio (€)]]&gt;$D$79,"Alta",IF(ABS(Tbl_Modelo[[#This Row],[Promedio (€)]]-$D$79)&lt;=0.01,"Media","Baja"))</f>
        <v>Alta</v>
      </c>
      <c r="H35" s="1"/>
      <c r="I35" s="1"/>
      <c r="J35" s="1"/>
      <c r="L35" s="1"/>
      <c r="M35" s="1"/>
      <c r="N35" s="164" t="str">
        <v>Reino Unido</v>
      </c>
      <c r="O35" s="166">
        <f t="shared" si="1"/>
        <v>353638.88000000006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7" x14ac:dyDescent="0.25">
      <c r="A36" s="1" t="s">
        <v>24</v>
      </c>
      <c r="B36" s="1" t="s">
        <v>16</v>
      </c>
      <c r="C36" s="21">
        <f>SUMIFS('1_Datos'!F:F,'1_Datos'!B:B,A36,'1_Datos'!C:C,B36)</f>
        <v>89726.33</v>
      </c>
      <c r="D36" s="21">
        <f xml:space="preserve"> AVERAGEIFS('1_Datos'!E:E, '1_Datos'!B:B, A36, '1_Datos'!C:C, B36)</f>
        <v>110.88249999999999</v>
      </c>
      <c r="E36" s="24" t="str">
        <f t="shared" ref="E36:E67" si="2">IF(D36 &gt;= $D$79, "Alto", "Bajo")</f>
        <v>Bajo</v>
      </c>
      <c r="F36" s="29" t="str">
        <f>Tbl_Modelo[[#This Row],[Producto]] &amp; " - " &amp; Tbl_Modelo[[#This Row],[País]]</f>
        <v>Chocolate - Francia</v>
      </c>
      <c r="G36" s="24" t="str">
        <f>IF(Tbl_Modelo[[#This Row],[Promedio (€)]]&gt;$D$79,"Alta",IF(ABS(Tbl_Modelo[[#This Row],[Promedio (€)]]-$D$79)&lt;=0.01,"Media","Baja"))</f>
        <v>Baja</v>
      </c>
      <c r="H36" s="1"/>
      <c r="I36" s="1"/>
      <c r="J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7" x14ac:dyDescent="0.25">
      <c r="A37" s="1" t="s">
        <v>24</v>
      </c>
      <c r="B37" s="1" t="s">
        <v>8</v>
      </c>
      <c r="C37" s="21">
        <f>SUMIFS('1_Datos'!F:F,'1_Datos'!B:B,A37,'1_Datos'!C:C,B37)</f>
        <v>97024.37</v>
      </c>
      <c r="D37" s="21">
        <f xml:space="preserve"> AVERAGEIFS('1_Datos'!E:E, '1_Datos'!B:B, A37, '1_Datos'!C:C, B37)</f>
        <v>108.066</v>
      </c>
      <c r="E37" s="24" t="str">
        <f t="shared" si="2"/>
        <v>Bajo</v>
      </c>
      <c r="F37" s="29" t="str">
        <f>Tbl_Modelo[[#This Row],[Producto]] &amp; " - " &amp; Tbl_Modelo[[#This Row],[País]]</f>
        <v>Chocolate - Italia</v>
      </c>
      <c r="G37" s="24" t="str">
        <f>IF(Tbl_Modelo[[#This Row],[Promedio (€)]]&gt;$D$79,"Alta",IF(ABS(Tbl_Modelo[[#This Row],[Promedio (€)]]-$D$79)&lt;=0.01,"Media","Baja"))</f>
        <v>Baja</v>
      </c>
      <c r="H37" s="1"/>
      <c r="I37" s="1"/>
      <c r="J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7" x14ac:dyDescent="0.25">
      <c r="A38" s="1" t="s">
        <v>24</v>
      </c>
      <c r="B38" s="1" t="s">
        <v>19</v>
      </c>
      <c r="C38" s="21">
        <f>SUMIFS('1_Datos'!F:F,'1_Datos'!B:B,A38,'1_Datos'!C:C,B38)</f>
        <v>11717.01</v>
      </c>
      <c r="D38" s="21">
        <f xml:space="preserve"> AVERAGEIFS('1_Datos'!E:E, '1_Datos'!B:B, A38, '1_Datos'!C:C, B38)</f>
        <v>116.01</v>
      </c>
      <c r="E38" s="24" t="str">
        <f t="shared" si="2"/>
        <v>Bajo</v>
      </c>
      <c r="F38" s="29" t="str">
        <f>Tbl_Modelo[[#This Row],[Producto]] &amp; " - " &amp; Tbl_Modelo[[#This Row],[País]]</f>
        <v>Chocolate - México</v>
      </c>
      <c r="G38" s="24" t="str">
        <f>IF(Tbl_Modelo[[#This Row],[Promedio (€)]]&gt;$D$79,"Alta",IF(ABS(Tbl_Modelo[[#This Row],[Promedio (€)]]-$D$79)&lt;=0.01,"Media","Baja"))</f>
        <v>Baja</v>
      </c>
      <c r="H38" s="1"/>
      <c r="I38" s="1"/>
      <c r="J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7" x14ac:dyDescent="0.25">
      <c r="A39" s="1" t="s">
        <v>15</v>
      </c>
      <c r="B39" s="1" t="s">
        <v>10</v>
      </c>
      <c r="C39" s="21">
        <f>SUMIFS('1_Datos'!F:F,'1_Datos'!B:B,A39,'1_Datos'!C:C,B39)</f>
        <v>112168.84</v>
      </c>
      <c r="D39" s="21">
        <f xml:space="preserve"> AVERAGEIFS('1_Datos'!E:E, '1_Datos'!B:B, A39, '1_Datos'!C:C, B39)</f>
        <v>146.3125</v>
      </c>
      <c r="E39" s="24" t="str">
        <f t="shared" si="2"/>
        <v>Alto</v>
      </c>
      <c r="F39" s="29" t="str">
        <f>Tbl_Modelo[[#This Row],[Producto]] &amp; " - " &amp; Tbl_Modelo[[#This Row],[País]]</f>
        <v>Jabón - Alemania</v>
      </c>
      <c r="G39" s="24" t="str">
        <f>IF(Tbl_Modelo[[#This Row],[Promedio (€)]]&gt;$D$79,"Alta",IF(ABS(Tbl_Modelo[[#This Row],[Promedio (€)]]-$D$79)&lt;=0.01,"Media","Baja"))</f>
        <v>Alta</v>
      </c>
      <c r="H39" s="1"/>
      <c r="I39" s="1"/>
      <c r="J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7" x14ac:dyDescent="0.25">
      <c r="A40" s="1" t="s">
        <v>15</v>
      </c>
      <c r="B40" s="1" t="s">
        <v>18</v>
      </c>
      <c r="C40" s="21">
        <f>SUMIFS('1_Datos'!F:F,'1_Datos'!B:B,A40,'1_Datos'!C:C,B40)</f>
        <v>46502.5</v>
      </c>
      <c r="D40" s="21">
        <f xml:space="preserve"> AVERAGEIFS('1_Datos'!E:E, '1_Datos'!B:B, A40, '1_Datos'!C:C, B40)</f>
        <v>152.61000000000001</v>
      </c>
      <c r="E40" s="24" t="str">
        <f t="shared" si="2"/>
        <v>Alto</v>
      </c>
      <c r="F40" s="29" t="str">
        <f>Tbl_Modelo[[#This Row],[Producto]] &amp; " - " &amp; Tbl_Modelo[[#This Row],[País]]</f>
        <v>Jabón - China</v>
      </c>
      <c r="G40" s="24" t="str">
        <f>IF(Tbl_Modelo[[#This Row],[Promedio (€)]]&gt;$D$79,"Alta",IF(ABS(Tbl_Modelo[[#This Row],[Promedio (€)]]-$D$79)&lt;=0.01,"Media","Baja"))</f>
        <v>Alta</v>
      </c>
      <c r="H40" s="1"/>
      <c r="I40" s="1"/>
      <c r="J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7" x14ac:dyDescent="0.25">
      <c r="A41" s="1" t="s">
        <v>15</v>
      </c>
      <c r="B41" s="1" t="s">
        <v>20</v>
      </c>
      <c r="C41" s="21">
        <f>SUMIFS('1_Datos'!F:F,'1_Datos'!B:B,A41,'1_Datos'!C:C,B41)</f>
        <v>11712.75</v>
      </c>
      <c r="D41" s="21">
        <f xml:space="preserve"> AVERAGEIFS('1_Datos'!E:E, '1_Datos'!B:B, A41, '1_Datos'!C:C, B41)</f>
        <v>169.75</v>
      </c>
      <c r="E41" s="24" t="str">
        <f t="shared" si="2"/>
        <v>Alto</v>
      </c>
      <c r="F41" s="29" t="str">
        <f>Tbl_Modelo[[#This Row],[Producto]] &amp; " - " &amp; Tbl_Modelo[[#This Row],[País]]</f>
        <v>Jabón - EE.UU.</v>
      </c>
      <c r="G41" s="24" t="str">
        <f>IF(Tbl_Modelo[[#This Row],[Promedio (€)]]&gt;$D$79,"Alta",IF(ABS(Tbl_Modelo[[#This Row],[Promedio (€)]]-$D$79)&lt;=0.01,"Media","Baja"))</f>
        <v>Alta</v>
      </c>
      <c r="H41" s="1"/>
      <c r="I41" s="1"/>
      <c r="J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7" x14ac:dyDescent="0.25">
      <c r="A42" s="1" t="s">
        <v>15</v>
      </c>
      <c r="B42" s="1" t="s">
        <v>13</v>
      </c>
      <c r="C42" s="21">
        <f>SUMIFS('1_Datos'!F:F,'1_Datos'!B:B,A42,'1_Datos'!C:C,B42)</f>
        <v>41353.100000000006</v>
      </c>
      <c r="D42" s="21">
        <f xml:space="preserve"> AVERAGEIFS('1_Datos'!E:E, '1_Datos'!B:B, A42, '1_Datos'!C:C, B42)</f>
        <v>125.17500000000001</v>
      </c>
      <c r="E42" s="24" t="str">
        <f t="shared" si="2"/>
        <v>Bajo</v>
      </c>
      <c r="F42" s="29" t="str">
        <f>Tbl_Modelo[[#This Row],[Producto]] &amp; " - " &amp; Tbl_Modelo[[#This Row],[País]]</f>
        <v>Jabón - España</v>
      </c>
      <c r="G42" s="24" t="str">
        <f>IF(Tbl_Modelo[[#This Row],[Promedio (€)]]&gt;$D$79,"Alta",IF(ABS(Tbl_Modelo[[#This Row],[Promedio (€)]]-$D$79)&lt;=0.01,"Media","Baja"))</f>
        <v>Baja</v>
      </c>
      <c r="H42" s="1"/>
      <c r="I42" s="1"/>
      <c r="J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7" x14ac:dyDescent="0.25">
      <c r="A43" s="1" t="s">
        <v>15</v>
      </c>
      <c r="B43" s="1" t="s">
        <v>16</v>
      </c>
      <c r="C43" s="21">
        <f>SUMIFS('1_Datos'!F:F,'1_Datos'!B:B,A43,'1_Datos'!C:C,B43)</f>
        <v>24231.87</v>
      </c>
      <c r="D43" s="21">
        <f xml:space="preserve"> AVERAGEIFS('1_Datos'!E:E, '1_Datos'!B:B, A43, '1_Datos'!C:C, B43)</f>
        <v>162.63</v>
      </c>
      <c r="E43" s="24" t="str">
        <f t="shared" si="2"/>
        <v>Alto</v>
      </c>
      <c r="F43" s="29" t="str">
        <f>Tbl_Modelo[[#This Row],[Producto]] &amp; " - " &amp; Tbl_Modelo[[#This Row],[País]]</f>
        <v>Jabón - Francia</v>
      </c>
      <c r="G43" s="24" t="str">
        <f>IF(Tbl_Modelo[[#This Row],[Promedio (€)]]&gt;$D$79,"Alta",IF(ABS(Tbl_Modelo[[#This Row],[Promedio (€)]]-$D$79)&lt;=0.01,"Media","Baja"))</f>
        <v>Alta</v>
      </c>
      <c r="H43" s="1"/>
      <c r="I43" s="1"/>
      <c r="J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7" x14ac:dyDescent="0.25">
      <c r="A44" s="1" t="s">
        <v>15</v>
      </c>
      <c r="B44" s="1" t="s">
        <v>8</v>
      </c>
      <c r="C44" s="21">
        <f>SUMIFS('1_Datos'!F:F,'1_Datos'!B:B,A44,'1_Datos'!C:C,B44)</f>
        <v>30402.629999999997</v>
      </c>
      <c r="D44" s="21">
        <f xml:space="preserve"> AVERAGEIFS('1_Datos'!E:E, '1_Datos'!B:B, A44, '1_Datos'!C:C, B44)</f>
        <v>151.01999999999998</v>
      </c>
      <c r="E44" s="24" t="str">
        <f t="shared" si="2"/>
        <v>Alto</v>
      </c>
      <c r="F44" s="29" t="str">
        <f>Tbl_Modelo[[#This Row],[Producto]] &amp; " - " &amp; Tbl_Modelo[[#This Row],[País]]</f>
        <v>Jabón - Italia</v>
      </c>
      <c r="G44" s="24" t="str">
        <f>IF(Tbl_Modelo[[#This Row],[Promedio (€)]]&gt;$D$79,"Alta",IF(ABS(Tbl_Modelo[[#This Row],[Promedio (€)]]-$D$79)&lt;=0.01,"Media","Baja"))</f>
        <v>Alta</v>
      </c>
      <c r="H44" s="1"/>
      <c r="I44" s="1"/>
      <c r="J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7" x14ac:dyDescent="0.25">
      <c r="A45" s="1" t="s">
        <v>15</v>
      </c>
      <c r="B45" s="1" t="s">
        <v>14</v>
      </c>
      <c r="C45" s="21">
        <f>SUMIFS('1_Datos'!F:F,'1_Datos'!B:B,A45,'1_Datos'!C:C,B45)</f>
        <v>42095.26</v>
      </c>
      <c r="D45" s="21">
        <f xml:space="preserve"> AVERAGEIFS('1_Datos'!E:E, '1_Datos'!B:B, A45, '1_Datos'!C:C, B45)</f>
        <v>125.93</v>
      </c>
      <c r="E45" s="24" t="str">
        <f t="shared" si="2"/>
        <v>Bajo</v>
      </c>
      <c r="F45" s="29" t="str">
        <f>Tbl_Modelo[[#This Row],[Producto]] &amp; " - " &amp; Tbl_Modelo[[#This Row],[País]]</f>
        <v>Jabón - Japón</v>
      </c>
      <c r="G45" s="24" t="str">
        <f>IF(Tbl_Modelo[[#This Row],[Promedio (€)]]&gt;$D$79,"Alta",IF(ABS(Tbl_Modelo[[#This Row],[Promedio (€)]]-$D$79)&lt;=0.01,"Media","Baja"))</f>
        <v>Baja</v>
      </c>
      <c r="H45" s="1"/>
      <c r="I45" s="1"/>
      <c r="J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7" x14ac:dyDescent="0.25">
      <c r="A46" s="1" t="s">
        <v>15</v>
      </c>
      <c r="B46" s="1" t="s">
        <v>19</v>
      </c>
      <c r="C46" s="21">
        <f>SUMIFS('1_Datos'!F:F,'1_Datos'!B:B,A46,'1_Datos'!C:C,B46)</f>
        <v>110746.36</v>
      </c>
      <c r="D46" s="21">
        <f xml:space="preserve"> AVERAGEIFS('1_Datos'!E:E, '1_Datos'!B:B, A46, '1_Datos'!C:C, B46)</f>
        <v>193.10666666666668</v>
      </c>
      <c r="E46" s="24" t="str">
        <f t="shared" si="2"/>
        <v>Alto</v>
      </c>
      <c r="F46" s="29" t="str">
        <f>Tbl_Modelo[[#This Row],[Producto]] &amp; " - " &amp; Tbl_Modelo[[#This Row],[País]]</f>
        <v>Jabón - México</v>
      </c>
      <c r="G46" s="24" t="str">
        <f>IF(Tbl_Modelo[[#This Row],[Promedio (€)]]&gt;$D$79,"Alta",IF(ABS(Tbl_Modelo[[#This Row],[Promedio (€)]]-$D$79)&lt;=0.01,"Media","Baja"))</f>
        <v>Alta</v>
      </c>
      <c r="H46" s="1"/>
      <c r="I46" s="1"/>
      <c r="J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7" x14ac:dyDescent="0.25">
      <c r="A47" s="1" t="s">
        <v>15</v>
      </c>
      <c r="B47" s="1" t="s">
        <v>21</v>
      </c>
      <c r="C47" s="21">
        <f>SUMIFS('1_Datos'!F:F,'1_Datos'!B:B,A47,'1_Datos'!C:C,B47)</f>
        <v>48449.24</v>
      </c>
      <c r="D47" s="21">
        <f xml:space="preserve"> AVERAGEIFS('1_Datos'!E:E, '1_Datos'!B:B, A47, '1_Datos'!C:C, B47)</f>
        <v>182.14</v>
      </c>
      <c r="E47" s="24" t="str">
        <f t="shared" si="2"/>
        <v>Alto</v>
      </c>
      <c r="F47" s="29" t="str">
        <f>Tbl_Modelo[[#This Row],[Producto]] &amp; " - " &amp; Tbl_Modelo[[#This Row],[País]]</f>
        <v>Jabón - Portugal</v>
      </c>
      <c r="G47" s="24" t="str">
        <f>IF(Tbl_Modelo[[#This Row],[Promedio (€)]]&gt;$D$79,"Alta",IF(ABS(Tbl_Modelo[[#This Row],[Promedio (€)]]-$D$79)&lt;=0.01,"Media","Baja"))</f>
        <v>Alta</v>
      </c>
      <c r="H47" s="1"/>
      <c r="I47" s="1"/>
      <c r="J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7" x14ac:dyDescent="0.25">
      <c r="A48" s="1" t="s">
        <v>15</v>
      </c>
      <c r="B48" s="1" t="s">
        <v>11</v>
      </c>
      <c r="C48" s="21">
        <f>SUMIFS('1_Datos'!F:F,'1_Datos'!B:B,A48,'1_Datos'!C:C,B48)</f>
        <v>132648.56</v>
      </c>
      <c r="D48" s="21">
        <f xml:space="preserve"> AVERAGEIFS('1_Datos'!E:E, '1_Datos'!B:B, A48, '1_Datos'!C:C, B48)</f>
        <v>137.38200000000001</v>
      </c>
      <c r="E48" s="24" t="str">
        <f t="shared" si="2"/>
        <v>Bajo</v>
      </c>
      <c r="F48" s="29" t="str">
        <f>Tbl_Modelo[[#This Row],[Producto]] &amp; " - " &amp; Tbl_Modelo[[#This Row],[País]]</f>
        <v>Jabón - Reino Unido</v>
      </c>
      <c r="G48" s="24" t="str">
        <f>IF(Tbl_Modelo[[#This Row],[Promedio (€)]]&gt;$D$79,"Alta",IF(ABS(Tbl_Modelo[[#This Row],[Promedio (€)]]-$D$79)&lt;=0.01,"Media","Baja"))</f>
        <v>Baja</v>
      </c>
      <c r="H48" s="1"/>
      <c r="I48" s="1"/>
      <c r="J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7" x14ac:dyDescent="0.25">
      <c r="A49" s="1" t="s">
        <v>9</v>
      </c>
      <c r="B49" s="1" t="s">
        <v>10</v>
      </c>
      <c r="C49" s="21">
        <f>SUMIFS('1_Datos'!F:F,'1_Datos'!B:B,A49,'1_Datos'!C:C,B49)</f>
        <v>70961.22</v>
      </c>
      <c r="D49" s="21">
        <f xml:space="preserve"> AVERAGEIFS('1_Datos'!E:E, '1_Datos'!B:B, A49, '1_Datos'!C:C, B49)</f>
        <v>157.51500000000001</v>
      </c>
      <c r="E49" s="24" t="str">
        <f t="shared" si="2"/>
        <v>Alto</v>
      </c>
      <c r="F49" s="29" t="str">
        <f>Tbl_Modelo[[#This Row],[Producto]] &amp; " - " &amp; Tbl_Modelo[[#This Row],[País]]</f>
        <v>Miel - Alemania</v>
      </c>
      <c r="G49" s="24" t="str">
        <f>IF(Tbl_Modelo[[#This Row],[Promedio (€)]]&gt;$D$79,"Alta",IF(ABS(Tbl_Modelo[[#This Row],[Promedio (€)]]-$D$79)&lt;=0.01,"Media","Baja"))</f>
        <v>Alta</v>
      </c>
      <c r="H49" s="1"/>
      <c r="I49" s="1"/>
      <c r="J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7" x14ac:dyDescent="0.25">
      <c r="A50" s="1" t="s">
        <v>9</v>
      </c>
      <c r="B50" s="1" t="s">
        <v>18</v>
      </c>
      <c r="C50" s="21">
        <f>SUMIFS('1_Datos'!F:F,'1_Datos'!B:B,A50,'1_Datos'!C:C,B50)</f>
        <v>7451.8</v>
      </c>
      <c r="D50" s="21">
        <f xml:space="preserve"> AVERAGEIFS('1_Datos'!E:E, '1_Datos'!B:B, A50, '1_Datos'!C:C, B50)</f>
        <v>98.05</v>
      </c>
      <c r="E50" s="24" t="str">
        <f t="shared" si="2"/>
        <v>Bajo</v>
      </c>
      <c r="F50" s="29" t="str">
        <f>Tbl_Modelo[[#This Row],[Producto]] &amp; " - " &amp; Tbl_Modelo[[#This Row],[País]]</f>
        <v>Miel - China</v>
      </c>
      <c r="G50" s="24" t="str">
        <f>IF(Tbl_Modelo[[#This Row],[Promedio (€)]]&gt;$D$79,"Alta",IF(ABS(Tbl_Modelo[[#This Row],[Promedio (€)]]-$D$79)&lt;=0.01,"Media","Baja"))</f>
        <v>Baja</v>
      </c>
      <c r="H50" s="1"/>
      <c r="I50" s="1"/>
      <c r="J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7" x14ac:dyDescent="0.25">
      <c r="A51" s="1" t="s">
        <v>9</v>
      </c>
      <c r="B51" s="1" t="s">
        <v>20</v>
      </c>
      <c r="C51" s="21">
        <f>SUMIFS('1_Datos'!F:F,'1_Datos'!B:B,A51,'1_Datos'!C:C,B51)</f>
        <v>20859.670000000002</v>
      </c>
      <c r="D51" s="21">
        <f xml:space="preserve"> AVERAGEIFS('1_Datos'!E:E, '1_Datos'!B:B, A51, '1_Datos'!C:C, B51)</f>
        <v>123.43</v>
      </c>
      <c r="E51" s="24" t="str">
        <f t="shared" si="2"/>
        <v>Bajo</v>
      </c>
      <c r="F51" s="29" t="str">
        <f>Tbl_Modelo[[#This Row],[Producto]] &amp; " - " &amp; Tbl_Modelo[[#This Row],[País]]</f>
        <v>Miel - EE.UU.</v>
      </c>
      <c r="G51" s="24" t="str">
        <f>IF(Tbl_Modelo[[#This Row],[Promedio (€)]]&gt;$D$79,"Alta",IF(ABS(Tbl_Modelo[[#This Row],[Promedio (€)]]-$D$79)&lt;=0.01,"Media","Baja"))</f>
        <v>Baja</v>
      </c>
      <c r="H51" s="1"/>
      <c r="I51" s="1"/>
      <c r="J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7" x14ac:dyDescent="0.25">
      <c r="A52" s="1" t="s">
        <v>9</v>
      </c>
      <c r="B52" s="1" t="s">
        <v>13</v>
      </c>
      <c r="C52" s="21">
        <f>SUMIFS('1_Datos'!F:F,'1_Datos'!B:B,A52,'1_Datos'!C:C,B52)</f>
        <v>12904.64</v>
      </c>
      <c r="D52" s="21">
        <f xml:space="preserve"> AVERAGEIFS('1_Datos'!E:E, '1_Datos'!B:B, A52, '1_Datos'!C:C, B52)</f>
        <v>57.61</v>
      </c>
      <c r="E52" s="24" t="str">
        <f t="shared" si="2"/>
        <v>Bajo</v>
      </c>
      <c r="F52" s="29" t="str">
        <f>Tbl_Modelo[[#This Row],[Producto]] &amp; " - " &amp; Tbl_Modelo[[#This Row],[País]]</f>
        <v>Miel - España</v>
      </c>
      <c r="G52" s="24" t="str">
        <f>IF(Tbl_Modelo[[#This Row],[Promedio (€)]]&gt;$D$79,"Alta",IF(ABS(Tbl_Modelo[[#This Row],[Promedio (€)]]-$D$79)&lt;=0.01,"Media","Baja"))</f>
        <v>Baja</v>
      </c>
      <c r="H52" s="1"/>
      <c r="I52" s="1"/>
      <c r="J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7" x14ac:dyDescent="0.25">
      <c r="A53" s="1" t="s">
        <v>9</v>
      </c>
      <c r="B53" s="1" t="s">
        <v>16</v>
      </c>
      <c r="C53" s="21">
        <f>SUMIFS('1_Datos'!F:F,'1_Datos'!B:B,A53,'1_Datos'!C:C,B53)</f>
        <v>68821.440000000002</v>
      </c>
      <c r="D53" s="21">
        <f xml:space="preserve"> AVERAGEIFS('1_Datos'!E:E, '1_Datos'!B:B, A53, '1_Datos'!C:C, B53)</f>
        <v>237.08499999999998</v>
      </c>
      <c r="E53" s="24" t="str">
        <f t="shared" si="2"/>
        <v>Alto</v>
      </c>
      <c r="F53" s="29" t="str">
        <f>Tbl_Modelo[[#This Row],[Producto]] &amp; " - " &amp; Tbl_Modelo[[#This Row],[País]]</f>
        <v>Miel - Francia</v>
      </c>
      <c r="G53" s="24" t="str">
        <f>IF(Tbl_Modelo[[#This Row],[Promedio (€)]]&gt;$D$79,"Alta",IF(ABS(Tbl_Modelo[[#This Row],[Promedio (€)]]-$D$79)&lt;=0.01,"Media","Baja"))</f>
        <v>Alta</v>
      </c>
      <c r="H53" s="1"/>
      <c r="I53" s="1"/>
      <c r="J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7" x14ac:dyDescent="0.25">
      <c r="A54" s="1" t="s">
        <v>9</v>
      </c>
      <c r="B54" s="1" t="s">
        <v>8</v>
      </c>
      <c r="C54" s="21">
        <f>SUMIFS('1_Datos'!F:F,'1_Datos'!B:B,A54,'1_Datos'!C:C,B54)</f>
        <v>55484.799999999996</v>
      </c>
      <c r="D54" s="21">
        <f xml:space="preserve"> AVERAGEIFS('1_Datos'!E:E, '1_Datos'!B:B, A54, '1_Datos'!C:C, B54)</f>
        <v>247.7</v>
      </c>
      <c r="E54" s="24" t="str">
        <f t="shared" si="2"/>
        <v>Alto</v>
      </c>
      <c r="F54" s="29" t="str">
        <f>Tbl_Modelo[[#This Row],[Producto]] &amp; " - " &amp; Tbl_Modelo[[#This Row],[País]]</f>
        <v>Miel - Italia</v>
      </c>
      <c r="G54" s="24" t="str">
        <f>IF(Tbl_Modelo[[#This Row],[Promedio (€)]]&gt;$D$79,"Alta",IF(ABS(Tbl_Modelo[[#This Row],[Promedio (€)]]-$D$79)&lt;=0.01,"Media","Baja"))</f>
        <v>Alta</v>
      </c>
      <c r="H54" s="1"/>
      <c r="I54" s="1"/>
      <c r="J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7" x14ac:dyDescent="0.25">
      <c r="A55" s="1" t="s">
        <v>9</v>
      </c>
      <c r="B55" s="1" t="s">
        <v>14</v>
      </c>
      <c r="C55" s="21">
        <f>SUMIFS('1_Datos'!F:F,'1_Datos'!B:B,A55,'1_Datos'!C:C,B55)</f>
        <v>107416.53</v>
      </c>
      <c r="D55" s="21">
        <f xml:space="preserve"> AVERAGEIFS('1_Datos'!E:E, '1_Datos'!B:B, A55, '1_Datos'!C:C, B55)</f>
        <v>154.49333333333334</v>
      </c>
      <c r="E55" s="24" t="str">
        <f t="shared" si="2"/>
        <v>Alto</v>
      </c>
      <c r="F55" s="29" t="str">
        <f>Tbl_Modelo[[#This Row],[Producto]] &amp; " - " &amp; Tbl_Modelo[[#This Row],[País]]</f>
        <v>Miel - Japón</v>
      </c>
      <c r="G55" s="24" t="str">
        <f>IF(Tbl_Modelo[[#This Row],[Promedio (€)]]&gt;$D$79,"Alta",IF(ABS(Tbl_Modelo[[#This Row],[Promedio (€)]]-$D$79)&lt;=0.01,"Media","Baja"))</f>
        <v>Alta</v>
      </c>
      <c r="H55" s="1"/>
      <c r="I55" s="1"/>
      <c r="J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7" x14ac:dyDescent="0.25">
      <c r="A56" s="1" t="s">
        <v>9</v>
      </c>
      <c r="B56" s="1" t="s">
        <v>19</v>
      </c>
      <c r="C56" s="21">
        <f>SUMIFS('1_Datos'!F:F,'1_Datos'!B:B,A56,'1_Datos'!C:C,B56)</f>
        <v>14101.5</v>
      </c>
      <c r="D56" s="21">
        <f xml:space="preserve"> AVERAGEIFS('1_Datos'!E:E, '1_Datos'!B:B, A56, '1_Datos'!C:C, B56)</f>
        <v>82.95</v>
      </c>
      <c r="E56" s="24" t="str">
        <f t="shared" si="2"/>
        <v>Bajo</v>
      </c>
      <c r="F56" s="29" t="str">
        <f>Tbl_Modelo[[#This Row],[Producto]] &amp; " - " &amp; Tbl_Modelo[[#This Row],[País]]</f>
        <v>Miel - México</v>
      </c>
      <c r="G56" s="24" t="str">
        <f>IF(Tbl_Modelo[[#This Row],[Promedio (€)]]&gt;$D$79,"Alta",IF(ABS(Tbl_Modelo[[#This Row],[Promedio (€)]]-$D$79)&lt;=0.01,"Media","Baja"))</f>
        <v>Baja</v>
      </c>
      <c r="H56" s="1"/>
      <c r="I56" s="1"/>
      <c r="J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7" x14ac:dyDescent="0.25">
      <c r="A57" s="1" t="s">
        <v>9</v>
      </c>
      <c r="B57" s="1" t="s">
        <v>21</v>
      </c>
      <c r="C57" s="21">
        <f>SUMIFS('1_Datos'!F:F,'1_Datos'!B:B,A57,'1_Datos'!C:C,B57)</f>
        <v>82818.920000000013</v>
      </c>
      <c r="D57" s="21">
        <f xml:space="preserve"> AVERAGEIFS('1_Datos'!E:E, '1_Datos'!B:B, A57, '1_Datos'!C:C, B57)</f>
        <v>157.94499999999999</v>
      </c>
      <c r="E57" s="24" t="str">
        <f t="shared" si="2"/>
        <v>Alto</v>
      </c>
      <c r="F57" s="29" t="str">
        <f>Tbl_Modelo[[#This Row],[Producto]] &amp; " - " &amp; Tbl_Modelo[[#This Row],[País]]</f>
        <v>Miel - Portugal</v>
      </c>
      <c r="G57" s="24" t="str">
        <f>IF(Tbl_Modelo[[#This Row],[Promedio (€)]]&gt;$D$79,"Alta",IF(ABS(Tbl_Modelo[[#This Row],[Promedio (€)]]-$D$79)&lt;=0.01,"Media","Baja"))</f>
        <v>Alta</v>
      </c>
      <c r="H57" s="1"/>
      <c r="I57" s="1"/>
      <c r="J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7" x14ac:dyDescent="0.25">
      <c r="A58" s="1" t="s">
        <v>9</v>
      </c>
      <c r="B58" s="1" t="s">
        <v>11</v>
      </c>
      <c r="C58" s="21">
        <f>SUMIFS('1_Datos'!F:F,'1_Datos'!B:B,A58,'1_Datos'!C:C,B58)</f>
        <v>52532.840000000004</v>
      </c>
      <c r="D58" s="21">
        <f xml:space="preserve"> AVERAGEIFS('1_Datos'!E:E, '1_Datos'!B:B, A58, '1_Datos'!C:C, B58)</f>
        <v>151.36000000000001</v>
      </c>
      <c r="E58" s="24" t="str">
        <f t="shared" si="2"/>
        <v>Alto</v>
      </c>
      <c r="F58" s="29" t="str">
        <f>Tbl_Modelo[[#This Row],[Producto]] &amp; " - " &amp; Tbl_Modelo[[#This Row],[País]]</f>
        <v>Miel - Reino Unido</v>
      </c>
      <c r="G58" s="24" t="str">
        <f>IF(Tbl_Modelo[[#This Row],[Promedio (€)]]&gt;$D$79,"Alta",IF(ABS(Tbl_Modelo[[#This Row],[Promedio (€)]]-$D$79)&lt;=0.01,"Media","Baja"))</f>
        <v>Alta</v>
      </c>
      <c r="H58" s="1"/>
      <c r="I58" s="1"/>
      <c r="J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7" x14ac:dyDescent="0.25">
      <c r="A59" s="1" t="s">
        <v>22</v>
      </c>
      <c r="B59" s="1" t="s">
        <v>10</v>
      </c>
      <c r="C59" s="21">
        <f>SUMIFS('1_Datos'!F:F,'1_Datos'!B:B,A59,'1_Datos'!C:C,B59)</f>
        <v>32162.02</v>
      </c>
      <c r="D59" s="21">
        <f xml:space="preserve"> AVERAGEIFS('1_Datos'!E:E, '1_Datos'!B:B, A59, '1_Datos'!C:C, B59)</f>
        <v>88.07</v>
      </c>
      <c r="E59" s="24" t="str">
        <f t="shared" si="2"/>
        <v>Bajo</v>
      </c>
      <c r="F59" s="29" t="str">
        <f>Tbl_Modelo[[#This Row],[Producto]] &amp; " - " &amp; Tbl_Modelo[[#This Row],[País]]</f>
        <v>Queso - Alemania</v>
      </c>
      <c r="G59" s="24" t="str">
        <f>IF(Tbl_Modelo[[#This Row],[Promedio (€)]]&gt;$D$79,"Alta",IF(ABS(Tbl_Modelo[[#This Row],[Promedio (€)]]-$D$79)&lt;=0.01,"Media","Baja"))</f>
        <v>Baja</v>
      </c>
      <c r="H59" s="1"/>
      <c r="I59" s="1"/>
      <c r="J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7" x14ac:dyDescent="0.25">
      <c r="A60" s="1" t="s">
        <v>22</v>
      </c>
      <c r="B60" s="1" t="s">
        <v>18</v>
      </c>
      <c r="C60" s="21">
        <f>SUMIFS('1_Datos'!F:F,'1_Datos'!B:B,A60,'1_Datos'!C:C,B60)</f>
        <v>38255.58</v>
      </c>
      <c r="D60" s="21">
        <f xml:space="preserve"> AVERAGEIFS('1_Datos'!E:E, '1_Datos'!B:B, A60, '1_Datos'!C:C, B60)</f>
        <v>137.61000000000001</v>
      </c>
      <c r="E60" s="24" t="str">
        <f t="shared" si="2"/>
        <v>Bajo</v>
      </c>
      <c r="F60" s="29" t="str">
        <f>Tbl_Modelo[[#This Row],[Producto]] &amp; " - " &amp; Tbl_Modelo[[#This Row],[País]]</f>
        <v>Queso - China</v>
      </c>
      <c r="G60" s="24" t="str">
        <f>IF(Tbl_Modelo[[#This Row],[Promedio (€)]]&gt;$D$79,"Alta",IF(ABS(Tbl_Modelo[[#This Row],[Promedio (€)]]-$D$79)&lt;=0.01,"Media","Baja"))</f>
        <v>Baja</v>
      </c>
      <c r="H60" s="1"/>
      <c r="I60" s="1"/>
      <c r="J60" s="1"/>
      <c r="K60" s="2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7" x14ac:dyDescent="0.25">
      <c r="A61" s="1" t="s">
        <v>22</v>
      </c>
      <c r="B61" s="1" t="s">
        <v>20</v>
      </c>
      <c r="C61" s="21">
        <f>SUMIFS('1_Datos'!F:F,'1_Datos'!B:B,A61,'1_Datos'!C:C,B61)</f>
        <v>23785.68</v>
      </c>
      <c r="D61" s="21">
        <f xml:space="preserve"> AVERAGEIFS('1_Datos'!E:E, '1_Datos'!B:B, A61, '1_Datos'!C:C, B61)</f>
        <v>127.88</v>
      </c>
      <c r="E61" s="24" t="str">
        <f t="shared" si="2"/>
        <v>Bajo</v>
      </c>
      <c r="F61" s="29" t="str">
        <f>Tbl_Modelo[[#This Row],[Producto]] &amp; " - " &amp; Tbl_Modelo[[#This Row],[País]]</f>
        <v>Queso - EE.UU.</v>
      </c>
      <c r="G61" s="24" t="str">
        <f>IF(Tbl_Modelo[[#This Row],[Promedio (€)]]&gt;$D$79,"Alta",IF(ABS(Tbl_Modelo[[#This Row],[Promedio (€)]]-$D$79)&lt;=0.01,"Media","Baja"))</f>
        <v>Baja</v>
      </c>
      <c r="H61" s="1"/>
      <c r="I61" s="1"/>
      <c r="J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7" x14ac:dyDescent="0.25">
      <c r="A62" s="1" t="s">
        <v>22</v>
      </c>
      <c r="B62" s="1" t="s">
        <v>13</v>
      </c>
      <c r="C62" s="21">
        <f>SUMIFS('1_Datos'!F:F,'1_Datos'!B:B,A62,'1_Datos'!C:C,B62)</f>
        <v>22861.34</v>
      </c>
      <c r="D62" s="21">
        <f xml:space="preserve"> AVERAGEIFS('1_Datos'!E:E, '1_Datos'!B:B, A62, '1_Datos'!C:C, B62)</f>
        <v>85.534999999999997</v>
      </c>
      <c r="E62" s="24" t="str">
        <f t="shared" si="2"/>
        <v>Bajo</v>
      </c>
      <c r="F62" s="29" t="str">
        <f>Tbl_Modelo[[#This Row],[Producto]] &amp; " - " &amp; Tbl_Modelo[[#This Row],[País]]</f>
        <v>Queso - España</v>
      </c>
      <c r="G62" s="24" t="str">
        <f>IF(Tbl_Modelo[[#This Row],[Promedio (€)]]&gt;$D$79,"Alta",IF(ABS(Tbl_Modelo[[#This Row],[Promedio (€)]]-$D$79)&lt;=0.01,"Media","Baja"))</f>
        <v>Baja</v>
      </c>
      <c r="H62" s="1"/>
      <c r="I62" s="1"/>
      <c r="J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7" x14ac:dyDescent="0.25">
      <c r="A63" s="1" t="s">
        <v>22</v>
      </c>
      <c r="B63" s="1" t="s">
        <v>16</v>
      </c>
      <c r="C63" s="21">
        <f>SUMIFS('1_Datos'!F:F,'1_Datos'!B:B,A63,'1_Datos'!C:C,B63)</f>
        <v>70899.079999999987</v>
      </c>
      <c r="D63" s="21">
        <f xml:space="preserve"> AVERAGEIFS('1_Datos'!E:E, '1_Datos'!B:B, A63, '1_Datos'!C:C, B63)</f>
        <v>123.58</v>
      </c>
      <c r="E63" s="24" t="str">
        <f t="shared" si="2"/>
        <v>Bajo</v>
      </c>
      <c r="F63" s="29" t="str">
        <f>Tbl_Modelo[[#This Row],[Producto]] &amp; " - " &amp; Tbl_Modelo[[#This Row],[País]]</f>
        <v>Queso - Francia</v>
      </c>
      <c r="G63" s="24" t="str">
        <f>IF(Tbl_Modelo[[#This Row],[Promedio (€)]]&gt;$D$79,"Alta",IF(ABS(Tbl_Modelo[[#This Row],[Promedio (€)]]-$D$79)&lt;=0.01,"Media","Baja"))</f>
        <v>Baja</v>
      </c>
      <c r="H63" s="1"/>
      <c r="I63" s="1"/>
      <c r="J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7" x14ac:dyDescent="0.25">
      <c r="A64" s="1" t="s">
        <v>22</v>
      </c>
      <c r="B64" s="1" t="s">
        <v>14</v>
      </c>
      <c r="C64" s="21">
        <f>SUMIFS('1_Datos'!F:F,'1_Datos'!B:B,A64,'1_Datos'!C:C,B64)</f>
        <v>27023.219999999998</v>
      </c>
      <c r="D64" s="21">
        <f xml:space="preserve"> AVERAGEIFS('1_Datos'!E:E, '1_Datos'!B:B, A64, '1_Datos'!C:C, B64)</f>
        <v>142.97999999999999</v>
      </c>
      <c r="E64" s="24" t="str">
        <f t="shared" si="2"/>
        <v>Bajo</v>
      </c>
      <c r="F64" s="29" t="str">
        <f>Tbl_Modelo[[#This Row],[Producto]] &amp; " - " &amp; Tbl_Modelo[[#This Row],[País]]</f>
        <v>Queso - Japón</v>
      </c>
      <c r="G64" s="24" t="str">
        <f>IF(Tbl_Modelo[[#This Row],[Promedio (€)]]&gt;$D$79,"Alta",IF(ABS(Tbl_Modelo[[#This Row],[Promedio (€)]]-$D$79)&lt;=0.01,"Media","Baja"))</f>
        <v>Baja</v>
      </c>
      <c r="H64" s="1"/>
      <c r="I64" s="1"/>
      <c r="J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7" x14ac:dyDescent="0.25">
      <c r="A65" s="1" t="s">
        <v>22</v>
      </c>
      <c r="B65" s="1" t="s">
        <v>19</v>
      </c>
      <c r="C65" s="21">
        <f>SUMIFS('1_Datos'!F:F,'1_Datos'!B:B,A65,'1_Datos'!C:C,B65)</f>
        <v>52113.919999999998</v>
      </c>
      <c r="D65" s="21">
        <f xml:space="preserve"> AVERAGEIFS('1_Datos'!E:E, '1_Datos'!B:B, A65, '1_Datos'!C:C, B65)</f>
        <v>138.76</v>
      </c>
      <c r="E65" s="24" t="str">
        <f t="shared" si="2"/>
        <v>Bajo</v>
      </c>
      <c r="F65" s="29" t="str">
        <f>Tbl_Modelo[[#This Row],[Producto]] &amp; " - " &amp; Tbl_Modelo[[#This Row],[País]]</f>
        <v>Queso - México</v>
      </c>
      <c r="G65" s="24" t="str">
        <f>IF(Tbl_Modelo[[#This Row],[Promedio (€)]]&gt;$D$79,"Alta",IF(ABS(Tbl_Modelo[[#This Row],[Promedio (€)]]-$D$79)&lt;=0.01,"Media","Baja"))</f>
        <v>Baja</v>
      </c>
      <c r="H65" s="1"/>
      <c r="I65" s="1"/>
      <c r="J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7" x14ac:dyDescent="0.25">
      <c r="A66" s="1" t="s">
        <v>22</v>
      </c>
      <c r="B66" s="1" t="s">
        <v>21</v>
      </c>
      <c r="C66" s="21">
        <f>SUMIFS('1_Datos'!F:F,'1_Datos'!B:B,A66,'1_Datos'!C:C,B66)</f>
        <v>52641.43</v>
      </c>
      <c r="D66" s="21">
        <f xml:space="preserve"> AVERAGEIFS('1_Datos'!E:E, '1_Datos'!B:B, A66, '1_Datos'!C:C, B66)</f>
        <v>103.75666666666666</v>
      </c>
      <c r="E66" s="24" t="str">
        <f t="shared" si="2"/>
        <v>Bajo</v>
      </c>
      <c r="F66" s="29" t="str">
        <f>Tbl_Modelo[[#This Row],[Producto]] &amp; " - " &amp; Tbl_Modelo[[#This Row],[País]]</f>
        <v>Queso - Portugal</v>
      </c>
      <c r="G66" s="24" t="str">
        <f>IF(Tbl_Modelo[[#This Row],[Promedio (€)]]&gt;$D$79,"Alta",IF(ABS(Tbl_Modelo[[#This Row],[Promedio (€)]]-$D$79)&lt;=0.01,"Media","Baja"))</f>
        <v>Baja</v>
      </c>
      <c r="H66" s="1"/>
      <c r="I66" s="1"/>
      <c r="J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7" x14ac:dyDescent="0.25">
      <c r="A67" s="1" t="s">
        <v>22</v>
      </c>
      <c r="B67" s="1" t="s">
        <v>11</v>
      </c>
      <c r="C67" s="21">
        <f>SUMIFS('1_Datos'!F:F,'1_Datos'!B:B,A67,'1_Datos'!C:C,B67)</f>
        <v>12917.9</v>
      </c>
      <c r="D67" s="21">
        <f xml:space="preserve"> AVERAGEIFS('1_Datos'!E:E, '1_Datos'!B:B, A67, '1_Datos'!C:C, B67)</f>
        <v>65.86</v>
      </c>
      <c r="E67" s="24" t="str">
        <f t="shared" si="2"/>
        <v>Bajo</v>
      </c>
      <c r="F67" s="29" t="str">
        <f>Tbl_Modelo[[#This Row],[Producto]] &amp; " - " &amp; Tbl_Modelo[[#This Row],[País]]</f>
        <v>Queso - Reino Unido</v>
      </c>
      <c r="G67" s="24" t="str">
        <f>IF(Tbl_Modelo[[#This Row],[Promedio (€)]]&gt;$D$79,"Alta",IF(ABS(Tbl_Modelo[[#This Row],[Promedio (€)]]-$D$79)&lt;=0.01,"Media","Baja"))</f>
        <v>Baja</v>
      </c>
      <c r="H67" s="1"/>
      <c r="I67" s="1"/>
      <c r="J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7" x14ac:dyDescent="0.25">
      <c r="A68" s="1" t="s">
        <v>23</v>
      </c>
      <c r="B68" s="1" t="s">
        <v>10</v>
      </c>
      <c r="C68" s="21">
        <f>SUMIFS('1_Datos'!F:F,'1_Datos'!B:B,A68,'1_Datos'!C:C,B68)</f>
        <v>45141.599999999999</v>
      </c>
      <c r="D68" s="21">
        <f xml:space="preserve"> AVERAGEIFS('1_Datos'!E:E, '1_Datos'!B:B, A68, '1_Datos'!C:C, B68)</f>
        <v>149.80000000000001</v>
      </c>
      <c r="E68" s="24" t="str">
        <f t="shared" ref="E68:E76" si="3">IF(D68 &gt;= $D$79, "Alto", "Bajo")</f>
        <v>Alto</v>
      </c>
      <c r="F68" s="29" t="str">
        <f>Tbl_Modelo[[#This Row],[Producto]] &amp; " - " &amp; Tbl_Modelo[[#This Row],[País]]</f>
        <v>Vino - Alemania</v>
      </c>
      <c r="G68" s="24" t="str">
        <f>IF(Tbl_Modelo[[#This Row],[Promedio (€)]]&gt;$D$79,"Alta",IF(ABS(Tbl_Modelo[[#This Row],[Promedio (€)]]-$D$79)&lt;=0.01,"Media","Baja"))</f>
        <v>Alta</v>
      </c>
      <c r="H68" s="1"/>
      <c r="I68" s="1"/>
      <c r="J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7" x14ac:dyDescent="0.25">
      <c r="A69" s="1" t="s">
        <v>23</v>
      </c>
      <c r="B69" s="1" t="s">
        <v>18</v>
      </c>
      <c r="C69" s="21">
        <f>SUMIFS('1_Datos'!F:F,'1_Datos'!B:B,A69,'1_Datos'!C:C,B69)</f>
        <v>70121.919999999998</v>
      </c>
      <c r="D69" s="21">
        <f xml:space="preserve"> AVERAGEIFS('1_Datos'!E:E, '1_Datos'!B:B, A69, '1_Datos'!C:C, B69)</f>
        <v>143.685</v>
      </c>
      <c r="E69" s="24" t="str">
        <f t="shared" si="3"/>
        <v>Bajo</v>
      </c>
      <c r="F69" s="29" t="str">
        <f>Tbl_Modelo[[#This Row],[Producto]] &amp; " - " &amp; Tbl_Modelo[[#This Row],[País]]</f>
        <v>Vino - China</v>
      </c>
      <c r="G69" s="24" t="str">
        <f>IF(Tbl_Modelo[[#This Row],[Promedio (€)]]&gt;$D$79,"Alta",IF(ABS(Tbl_Modelo[[#This Row],[Promedio (€)]]-$D$79)&lt;=0.01,"Media","Baja"))</f>
        <v>Baja</v>
      </c>
      <c r="H69" s="1"/>
      <c r="I69" s="1"/>
      <c r="J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7" x14ac:dyDescent="0.25">
      <c r="A70" s="1" t="s">
        <v>23</v>
      </c>
      <c r="B70" s="1" t="s">
        <v>20</v>
      </c>
      <c r="C70" s="21">
        <f>SUMIFS('1_Datos'!F:F,'1_Datos'!B:B,A70,'1_Datos'!C:C,B70)</f>
        <v>53944.52</v>
      </c>
      <c r="D70" s="21">
        <f xml:space="preserve"> AVERAGEIFS('1_Datos'!E:E, '1_Datos'!B:B, A70, '1_Datos'!C:C, B70)</f>
        <v>212.38</v>
      </c>
      <c r="E70" s="24" t="str">
        <f t="shared" si="3"/>
        <v>Alto</v>
      </c>
      <c r="F70" s="29" t="str">
        <f>Tbl_Modelo[[#This Row],[Producto]] &amp; " - " &amp; Tbl_Modelo[[#This Row],[País]]</f>
        <v>Vino - EE.UU.</v>
      </c>
      <c r="G70" s="24" t="str">
        <f>IF(Tbl_Modelo[[#This Row],[Promedio (€)]]&gt;$D$79,"Alta",IF(ABS(Tbl_Modelo[[#This Row],[Promedio (€)]]-$D$79)&lt;=0.01,"Media","Baja"))</f>
        <v>Alta</v>
      </c>
      <c r="H70" s="1"/>
      <c r="I70" s="1"/>
      <c r="J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7" x14ac:dyDescent="0.25">
      <c r="A71" s="1" t="s">
        <v>23</v>
      </c>
      <c r="B71" s="1" t="s">
        <v>13</v>
      </c>
      <c r="C71" s="21">
        <f>SUMIFS('1_Datos'!F:F,'1_Datos'!B:B,A71,'1_Datos'!C:C,B71)</f>
        <v>59309.700000000004</v>
      </c>
      <c r="D71" s="21">
        <f xml:space="preserve"> AVERAGEIFS('1_Datos'!E:E, '1_Datos'!B:B, A71, '1_Datos'!C:C, B71)</f>
        <v>155.73000000000002</v>
      </c>
      <c r="E71" s="24" t="str">
        <f t="shared" si="3"/>
        <v>Alto</v>
      </c>
      <c r="F71" s="29" t="str">
        <f>Tbl_Modelo[[#This Row],[Producto]] &amp; " - " &amp; Tbl_Modelo[[#This Row],[País]]</f>
        <v>Vino - España</v>
      </c>
      <c r="G71" s="24" t="str">
        <f>IF(Tbl_Modelo[[#This Row],[Promedio (€)]]&gt;$D$79,"Alta",IF(ABS(Tbl_Modelo[[#This Row],[Promedio (€)]]-$D$79)&lt;=0.01,"Media","Baja"))</f>
        <v>Alta</v>
      </c>
      <c r="H71" s="1"/>
      <c r="I71" s="1"/>
      <c r="J71" s="1"/>
      <c r="L71" s="1"/>
      <c r="M71" s="3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7" x14ac:dyDescent="0.25">
      <c r="A72" s="1" t="s">
        <v>23</v>
      </c>
      <c r="B72" s="1" t="s">
        <v>16</v>
      </c>
      <c r="C72" s="21">
        <f>SUMIFS('1_Datos'!F:F,'1_Datos'!B:B,A72,'1_Datos'!C:C,B72)</f>
        <v>56920.5</v>
      </c>
      <c r="D72" s="21">
        <f xml:space="preserve"> AVERAGEIFS('1_Datos'!E:E, '1_Datos'!B:B, A72, '1_Datos'!C:C, B72)</f>
        <v>204.75</v>
      </c>
      <c r="E72" s="24" t="str">
        <f t="shared" si="3"/>
        <v>Alto</v>
      </c>
      <c r="F72" s="29" t="str">
        <f>Tbl_Modelo[[#This Row],[Producto]] &amp; " - " &amp; Tbl_Modelo[[#This Row],[País]]</f>
        <v>Vino - Francia</v>
      </c>
      <c r="G72" s="24" t="str">
        <f>IF(Tbl_Modelo[[#This Row],[Promedio (€)]]&gt;$D$79,"Alta",IF(ABS(Tbl_Modelo[[#This Row],[Promedio (€)]]-$D$79)&lt;=0.01,"Media","Baja"))</f>
        <v>Alta</v>
      </c>
      <c r="H72" s="1"/>
      <c r="I72" s="1"/>
      <c r="J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7" x14ac:dyDescent="0.25">
      <c r="A73" s="1" t="s">
        <v>23</v>
      </c>
      <c r="B73" s="1" t="s">
        <v>8</v>
      </c>
      <c r="C73" s="21">
        <f>SUMIFS('1_Datos'!F:F,'1_Datos'!B:B,A73,'1_Datos'!C:C,B73)</f>
        <v>41795.599999999999</v>
      </c>
      <c r="D73" s="21">
        <f xml:space="preserve"> AVERAGEIFS('1_Datos'!E:E, '1_Datos'!B:B, A73, '1_Datos'!C:C, B73)</f>
        <v>181.72</v>
      </c>
      <c r="E73" s="24" t="str">
        <f t="shared" si="3"/>
        <v>Alto</v>
      </c>
      <c r="F73" s="29" t="str">
        <f>Tbl_Modelo[[#This Row],[Producto]] &amp; " - " &amp; Tbl_Modelo[[#This Row],[País]]</f>
        <v>Vino - Italia</v>
      </c>
      <c r="G73" s="24" t="str">
        <f>IF(Tbl_Modelo[[#This Row],[Promedio (€)]]&gt;$D$79,"Alta",IF(ABS(Tbl_Modelo[[#This Row],[Promedio (€)]]-$D$79)&lt;=0.01,"Media","Baja"))</f>
        <v>Alta</v>
      </c>
      <c r="H73" s="1"/>
      <c r="I73" s="1"/>
      <c r="J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7" x14ac:dyDescent="0.25">
      <c r="A74" s="1" t="s">
        <v>23</v>
      </c>
      <c r="B74" s="1" t="s">
        <v>14</v>
      </c>
      <c r="C74" s="21">
        <f>SUMIFS('1_Datos'!F:F,'1_Datos'!B:B,A74,'1_Datos'!C:C,B74)</f>
        <v>72243.459999999992</v>
      </c>
      <c r="D74" s="21">
        <f xml:space="preserve"> AVERAGEIFS('1_Datos'!E:E, '1_Datos'!B:B, A74, '1_Datos'!C:C, B74)</f>
        <v>135.88333333333335</v>
      </c>
      <c r="E74" s="24" t="str">
        <f t="shared" si="3"/>
        <v>Bajo</v>
      </c>
      <c r="F74" s="29" t="str">
        <f>Tbl_Modelo[[#This Row],[Producto]] &amp; " - " &amp; Tbl_Modelo[[#This Row],[País]]</f>
        <v>Vino - Japón</v>
      </c>
      <c r="G74" s="24" t="str">
        <f>IF(Tbl_Modelo[[#This Row],[Promedio (€)]]&gt;$D$79,"Alta",IF(ABS(Tbl_Modelo[[#This Row],[Promedio (€)]]-$D$79)&lt;=0.01,"Media","Baja"))</f>
        <v>Baja</v>
      </c>
      <c r="H74" s="1"/>
      <c r="I74" s="1"/>
      <c r="J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7" x14ac:dyDescent="0.25">
      <c r="A75" s="1" t="s">
        <v>23</v>
      </c>
      <c r="B75" s="1" t="s">
        <v>21</v>
      </c>
      <c r="C75" s="21">
        <f>SUMIFS('1_Datos'!F:F,'1_Datos'!B:B,A75,'1_Datos'!C:C,B75)</f>
        <v>29858.800000000003</v>
      </c>
      <c r="D75" s="21">
        <f xml:space="preserve"> AVERAGEIFS('1_Datos'!E:E, '1_Datos'!B:B, A75, '1_Datos'!C:C, B75)</f>
        <v>219.55</v>
      </c>
      <c r="E75" s="24" t="str">
        <f t="shared" si="3"/>
        <v>Alto</v>
      </c>
      <c r="F75" s="29" t="str">
        <f>Tbl_Modelo[[#This Row],[Producto]] &amp; " - " &amp; Tbl_Modelo[[#This Row],[País]]</f>
        <v>Vino - Portugal</v>
      </c>
      <c r="G75" s="24" t="str">
        <f>IF(Tbl_Modelo[[#This Row],[Promedio (€)]]&gt;$D$79,"Alta",IF(ABS(Tbl_Modelo[[#This Row],[Promedio (€)]]-$D$79)&lt;=0.01,"Media","Baja"))</f>
        <v>Alta</v>
      </c>
      <c r="H75" s="1"/>
      <c r="I75" s="1"/>
      <c r="J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7" x14ac:dyDescent="0.25">
      <c r="A76" s="1" t="s">
        <v>23</v>
      </c>
      <c r="B76" s="1" t="s">
        <v>11</v>
      </c>
      <c r="C76" s="21">
        <f>SUMIFS('1_Datos'!F:F,'1_Datos'!B:B,A76,'1_Datos'!C:C,B76)</f>
        <v>25018.14</v>
      </c>
      <c r="D76" s="21">
        <f xml:space="preserve"> AVERAGEIFS('1_Datos'!E:E, '1_Datos'!B:B, A76, '1_Datos'!C:C, B76)</f>
        <v>135.51</v>
      </c>
      <c r="E76" s="24" t="str">
        <f t="shared" si="3"/>
        <v>Bajo</v>
      </c>
      <c r="F76" s="29" t="str">
        <f>Tbl_Modelo[[#This Row],[Producto]] &amp; " - " &amp; Tbl_Modelo[[#This Row],[País]]</f>
        <v>Vino - Reino Unido</v>
      </c>
      <c r="G76" s="24" t="str">
        <f>IF(Tbl_Modelo[[#This Row],[Promedio (€)]]&gt;$D$79,"Alta",IF(ABS(Tbl_Modelo[[#This Row],[Promedio (€)]]-$D$79)&lt;=0.01,"Media","Baja"))</f>
        <v>Baja</v>
      </c>
      <c r="H76" s="1"/>
      <c r="I76" s="1"/>
      <c r="J76" s="3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52" ht="17" x14ac:dyDescent="0.25">
      <c r="A78" s="1"/>
      <c r="B78" s="1"/>
      <c r="C78" s="32"/>
      <c r="D78" s="32"/>
      <c r="E78" s="23"/>
      <c r="F78" s="1"/>
      <c r="G78" s="1"/>
      <c r="H78" s="1"/>
      <c r="I78" s="1"/>
      <c r="J78" s="1"/>
    </row>
    <row r="79" spans="1:52" ht="17" x14ac:dyDescent="0.25">
      <c r="A79" s="1"/>
      <c r="B79" s="1"/>
      <c r="C79" s="49" t="s">
        <v>152</v>
      </c>
      <c r="D79" s="30">
        <f>AVERAGE(Tbl_Modelo[Promedio (€)])</f>
        <v>146.12887671232872</v>
      </c>
      <c r="E79" s="1"/>
      <c r="F79" s="1"/>
      <c r="G79" s="1"/>
      <c r="H79" s="1"/>
      <c r="I79" s="1"/>
      <c r="J79" s="1"/>
    </row>
  </sheetData>
  <mergeCells count="3">
    <mergeCell ref="N1:O1"/>
    <mergeCell ref="A1:G1"/>
    <mergeCell ref="N23:O23"/>
  </mergeCells>
  <conditionalFormatting sqref="G4:G76">
    <cfRule type="containsText" dxfId="12" priority="1" operator="containsText" text="Media">
      <formula>NOT(ISERROR(SEARCH("Media",G4)))</formula>
    </cfRule>
    <cfRule type="containsText" dxfId="11" priority="5" operator="containsText" text="Baja">
      <formula>NOT(ISERROR(SEARCH("Baja",G4)))</formula>
    </cfRule>
    <cfRule type="containsText" dxfId="10" priority="6" operator="containsText" text="Media">
      <formula>NOT(ISERROR(SEARCH("Media",G4)))</formula>
    </cfRule>
    <cfRule type="containsText" dxfId="9" priority="7" operator="containsText" text="Alta">
      <formula>NOT(ISERROR(SEARCH("Alta",G4)))</formula>
    </cfRule>
  </conditionalFormatting>
  <conditionalFormatting sqref="O8:O17">
    <cfRule type="containsText" dxfId="8" priority="2" operator="containsText" text="Media">
      <formula>NOT(ISERROR(SEARCH("Media",O8)))</formula>
    </cfRule>
    <cfRule type="containsText" dxfId="7" priority="3" operator="containsText" text="Baja">
      <formula>NOT(ISERROR(SEARCH("Baja",O8)))</formula>
    </cfRule>
    <cfRule type="containsText" dxfId="6" priority="4" operator="containsText" text="Alta">
      <formula>NOT(ISERROR(SEARCH("Alta",O8)))</formula>
    </cfRule>
  </conditionalFormatting>
  <dataValidations count="1">
    <dataValidation type="list" allowBlank="1" showInputMessage="1" showErrorMessage="1" sqref="N5" xr:uid="{561CAF8C-C42D-704D-A519-A8DEDD21AAA0}">
      <formula1>$A$11:$A$76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D112-2762-0345-B759-5F8A85F98CF2}">
  <sheetPr>
    <tabColor rgb="FF006100"/>
  </sheetPr>
  <dimension ref="A1:ET119"/>
  <sheetViews>
    <sheetView zoomScale="75" zoomScaleNormal="163" workbookViewId="0">
      <selection activeCell="C15" sqref="C15"/>
    </sheetView>
  </sheetViews>
  <sheetFormatPr baseColWidth="10" defaultRowHeight="16" x14ac:dyDescent="0.2"/>
  <cols>
    <col min="1" max="1" width="29.83203125" customWidth="1"/>
    <col min="2" max="2" width="30" customWidth="1"/>
    <col min="3" max="3" width="13.1640625" customWidth="1"/>
    <col min="4" max="4" width="31.6640625" customWidth="1"/>
    <col min="5" max="5" width="22.33203125" customWidth="1"/>
    <col min="6" max="6" width="13.5" customWidth="1"/>
    <col min="7" max="7" width="33.83203125" customWidth="1"/>
    <col min="8" max="8" width="19.83203125" customWidth="1"/>
    <col min="9" max="9" width="13.33203125" customWidth="1"/>
    <col min="10" max="10" width="22.83203125" customWidth="1"/>
    <col min="11" max="11" width="23" customWidth="1"/>
    <col min="12" max="12" width="36.33203125" customWidth="1"/>
    <col min="13" max="13" width="20.83203125" hidden="1" customWidth="1"/>
    <col min="14" max="14" width="1.5" hidden="1" customWidth="1"/>
    <col min="15" max="15" width="11.5" customWidth="1"/>
    <col min="16" max="16" width="27.83203125" customWidth="1"/>
    <col min="17" max="17" width="30.1640625" customWidth="1"/>
    <col min="18" max="18" width="21.83203125" customWidth="1"/>
    <col min="19" max="19" width="13" hidden="1" customWidth="1"/>
    <col min="20" max="20" width="11.83203125" hidden="1" customWidth="1"/>
    <col min="21" max="21" width="12.6640625" hidden="1" customWidth="1"/>
  </cols>
  <sheetData>
    <row r="1" spans="1:150" ht="26" x14ac:dyDescent="0.35">
      <c r="A1" s="156"/>
      <c r="B1" s="156"/>
      <c r="C1" s="156"/>
      <c r="D1" s="192" t="s">
        <v>239</v>
      </c>
      <c r="E1" s="192"/>
      <c r="F1" s="192"/>
      <c r="G1" s="192"/>
      <c r="H1" s="192"/>
      <c r="I1" s="156"/>
      <c r="J1" s="156"/>
      <c r="K1" s="156"/>
      <c r="L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</row>
    <row r="2" spans="1:150" ht="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</row>
    <row r="3" spans="1:150" ht="17" x14ac:dyDescent="0.25">
      <c r="C3" s="72"/>
      <c r="D3" s="191" t="s">
        <v>162</v>
      </c>
      <c r="E3" s="191"/>
      <c r="F3" s="191"/>
      <c r="G3" s="191"/>
      <c r="H3" s="191"/>
      <c r="I3" s="1"/>
      <c r="O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</row>
    <row r="4" spans="1:150" ht="17" x14ac:dyDescent="0.25">
      <c r="A4" s="1"/>
      <c r="B4" s="1"/>
      <c r="C4" s="1"/>
      <c r="D4" s="1"/>
      <c r="E4" s="1"/>
      <c r="F4" s="1"/>
      <c r="G4" s="1"/>
      <c r="H4" s="1"/>
      <c r="I4" s="1"/>
      <c r="O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</row>
    <row r="5" spans="1:150" ht="17" x14ac:dyDescent="0.25">
      <c r="A5" s="1"/>
      <c r="B5" s="1"/>
      <c r="C5" s="1"/>
      <c r="D5" s="1"/>
      <c r="E5" s="1"/>
      <c r="F5" s="1"/>
      <c r="G5" s="1"/>
      <c r="H5" s="1"/>
      <c r="I5" s="1"/>
      <c r="M5" s="26" t="s">
        <v>159</v>
      </c>
      <c r="N5" s="26" t="s">
        <v>170</v>
      </c>
      <c r="O5" s="1"/>
      <c r="R5" s="66"/>
      <c r="S5" s="1" t="s">
        <v>155</v>
      </c>
      <c r="T5" s="1" t="s">
        <v>169</v>
      </c>
      <c r="U5" s="1" t="s">
        <v>156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</row>
    <row r="6" spans="1:150" ht="17" x14ac:dyDescent="0.25">
      <c r="A6" s="63" t="s">
        <v>163</v>
      </c>
      <c r="B6" s="53"/>
      <c r="C6" s="24"/>
      <c r="D6" s="188" t="s">
        <v>165</v>
      </c>
      <c r="E6" s="189"/>
      <c r="F6" s="71"/>
      <c r="G6" s="64" t="s">
        <v>164</v>
      </c>
      <c r="H6" s="57"/>
      <c r="J6" s="193" t="s">
        <v>167</v>
      </c>
      <c r="K6" s="193"/>
      <c r="L6" s="194"/>
      <c r="M6" t="s">
        <v>155</v>
      </c>
      <c r="N6">
        <f>COUNTIF(Tbl_Modelo[Clasificación Rentabilidad],"Alta")</f>
        <v>36</v>
      </c>
      <c r="O6" s="152"/>
      <c r="R6" s="1"/>
      <c r="S6" cm="1">
        <f t="array" ref="S6">IF(B20="Alta",1,_xludf.NA())</f>
        <v>1</v>
      </c>
      <c r="T6" s="1" t="e" cm="1">
        <f t="array" aca="1" ref="T6" ca="1">IF(B20="Media",1,_xludf.NA())</f>
        <v>#NAME?</v>
      </c>
      <c r="U6" t="e" cm="1">
        <f t="array" aca="1" ref="U6" ca="1">IF(B20="Baja",1,_xludf.NA())</f>
        <v>#NAME?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</row>
    <row r="7" spans="1:150" ht="17" x14ac:dyDescent="0.25">
      <c r="A7" s="58">
        <f>SUM(Tbl_Modelo[Total (€)])</f>
        <v>3879632.7600000002</v>
      </c>
      <c r="B7" s="54"/>
      <c r="C7" s="1"/>
      <c r="D7" s="58">
        <f>'2_Modelo'!D79</f>
        <v>146.12887671232872</v>
      </c>
      <c r="E7" s="54"/>
      <c r="F7" s="71"/>
      <c r="G7" s="65" t="str">
        <f>INDEX(J9:J16,MATCH(MAX(K9:K16),K9:K16,0))</f>
        <v>Cerveza</v>
      </c>
      <c r="H7" s="54"/>
      <c r="L7" s="158"/>
      <c r="M7" t="s">
        <v>169</v>
      </c>
      <c r="N7">
        <f>COUNTIF(Tbl_Modelo[Clasificación Rentabilidad],"Media")</f>
        <v>0</v>
      </c>
      <c r="O7" s="1"/>
      <c r="R7" s="1"/>
      <c r="S7" cm="1">
        <f t="array" ref="S7">IF(B21="Alta",1,_xludf.NA())</f>
        <v>1</v>
      </c>
      <c r="T7" s="1" t="e" cm="1">
        <f t="array" aca="1" ref="T7" ca="1">IF(B21="Media",1,_xludf.NA())</f>
        <v>#NAME?</v>
      </c>
      <c r="U7" t="e" cm="1">
        <f t="array" aca="1" ref="U7" ca="1">IF(B21="Baja",1,_xludf.NA())</f>
        <v>#NAME?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</row>
    <row r="8" spans="1:150" ht="17" x14ac:dyDescent="0.25">
      <c r="A8" s="55"/>
      <c r="B8" s="56"/>
      <c r="C8" s="1"/>
      <c r="D8" s="55"/>
      <c r="E8" s="56"/>
      <c r="G8" s="55"/>
      <c r="H8" s="56"/>
      <c r="J8" s="73" t="s">
        <v>3</v>
      </c>
      <c r="K8" s="153" t="s">
        <v>166</v>
      </c>
      <c r="L8" s="157" t="s">
        <v>248</v>
      </c>
      <c r="M8" t="s">
        <v>156</v>
      </c>
      <c r="N8">
        <f>COUNTIF(Tbl_Modelo[Clasificación Rentabilidad],"Baja")</f>
        <v>37</v>
      </c>
      <c r="O8" s="152"/>
      <c r="R8" s="1"/>
      <c r="S8" t="e" cm="1">
        <f t="array" aca="1" ref="S8" ca="1">IF(B22="Alta",1,_xludf.NA())</f>
        <v>#NAME?</v>
      </c>
      <c r="T8" s="1" t="e" cm="1">
        <f t="array" aca="1" ref="T8" ca="1">IF(B22="Media",1,_xludf.NA())</f>
        <v>#NAME?</v>
      </c>
      <c r="U8" cm="1">
        <f t="array" ref="U8">IF(B22="Baja",1,_xludf.NA())</f>
        <v>1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</row>
    <row r="9" spans="1:150" ht="17" x14ac:dyDescent="0.25">
      <c r="A9" s="1"/>
      <c r="B9" s="1"/>
      <c r="C9" s="1"/>
      <c r="D9" s="1"/>
      <c r="E9" s="1"/>
      <c r="F9" s="1"/>
      <c r="G9" s="1"/>
      <c r="H9" s="1"/>
      <c r="I9" s="1"/>
      <c r="J9" s="74" t="s">
        <v>12</v>
      </c>
      <c r="K9" s="154">
        <f>SUMIF(Tbl_Modelo[Producto], J9, Tbl_Modelo[Total (€)])</f>
        <v>501606.22000000009</v>
      </c>
      <c r="L9" s="151">
        <f>AVERAGEIF('2_Modelo'!A4:A76, J9, '2_Modelo'!D4:D76)</f>
        <v>140.49891666666667</v>
      </c>
      <c r="O9" s="152"/>
      <c r="R9" s="1"/>
      <c r="S9" cm="1">
        <f t="array" ref="S9">IF(B23="Alta",1,_xludf.NA())</f>
        <v>1</v>
      </c>
      <c r="T9" s="1" t="e" cm="1">
        <f t="array" aca="1" ref="T9" ca="1">IF(B23="Media",1,_xludf.NA())</f>
        <v>#NAME?</v>
      </c>
      <c r="U9" t="e" cm="1">
        <f t="array" aca="1" ref="U9" ca="1">IF(B23="Baja",1,_xludf.NA())</f>
        <v>#NAME?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</row>
    <row r="10" spans="1:150" ht="17" x14ac:dyDescent="0.25">
      <c r="A10" s="1"/>
      <c r="B10" s="1"/>
      <c r="C10" s="1"/>
      <c r="D10" s="1"/>
      <c r="E10" s="1"/>
      <c r="F10" s="1"/>
      <c r="G10" s="1"/>
      <c r="H10" s="1"/>
      <c r="I10" s="1"/>
      <c r="J10" s="74" t="s">
        <v>7</v>
      </c>
      <c r="K10" s="154">
        <f>SUMIF(Tbl_Modelo[Producto], J10, Tbl_Modelo[Total (€)])</f>
        <v>639641.56000000006</v>
      </c>
      <c r="L10" s="151">
        <f>AVERAGEIF('2_Modelo'!A5:A77, J10, '2_Modelo'!D5:D77)</f>
        <v>164.08649999999997</v>
      </c>
      <c r="O10" s="152"/>
      <c r="R10" s="1"/>
      <c r="S10" t="e" cm="1">
        <f t="array" aca="1" ref="S10" ca="1">IF(B24="Alta",1,_xludf.NA())</f>
        <v>#NAME?</v>
      </c>
      <c r="T10" s="1" t="e" cm="1">
        <f t="array" aca="1" ref="T10" ca="1">IF(B24="Media",1,_xludf.NA())</f>
        <v>#NAME?</v>
      </c>
      <c r="U10" cm="1">
        <f t="array" ref="U10">IF(B24="Baja",1,_xludf.NA())</f>
        <v>1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</row>
    <row r="11" spans="1:150" ht="17" x14ac:dyDescent="0.25">
      <c r="A11" s="1"/>
      <c r="B11" s="1"/>
      <c r="C11" s="1"/>
      <c r="D11" s="1"/>
      <c r="E11" s="1"/>
      <c r="F11" s="1"/>
      <c r="G11" s="1"/>
      <c r="H11" s="1"/>
      <c r="I11" s="1"/>
      <c r="J11" s="74" t="s">
        <v>17</v>
      </c>
      <c r="K11" s="154">
        <f>SUMIF(Tbl_Modelo[Producto], J11, Tbl_Modelo[Total (€)])</f>
        <v>574492.23</v>
      </c>
      <c r="L11" s="151">
        <f>AVERAGEIF('2_Modelo'!A6:A78, J11, '2_Modelo'!D6:D78)</f>
        <v>138.96898148148145</v>
      </c>
      <c r="O11" s="152"/>
      <c r="R11" s="1"/>
      <c r="S11" cm="1">
        <f t="array" ref="S11">IF(B25="Alta",1,_xludf.NA())</f>
        <v>1</v>
      </c>
      <c r="T11" s="1" t="e" cm="1">
        <f t="array" aca="1" ref="T11" ca="1">IF(B25="Media",1,_xludf.NA())</f>
        <v>#NAME?</v>
      </c>
      <c r="U11" t="e" cm="1">
        <f t="array" aca="1" ref="U11" ca="1">IF(B25="Baja",1,_xludf.NA())</f>
        <v>#NAME?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</row>
    <row r="12" spans="1:150" ht="17" x14ac:dyDescent="0.25">
      <c r="A12" s="1"/>
      <c r="B12" s="1"/>
      <c r="C12" s="1"/>
      <c r="D12" s="1"/>
      <c r="E12" s="1"/>
      <c r="F12" s="1"/>
      <c r="G12" s="1"/>
      <c r="H12" s="1"/>
      <c r="I12" s="1"/>
      <c r="J12" s="74" t="s">
        <v>24</v>
      </c>
      <c r="K12" s="154">
        <f>SUMIF(Tbl_Modelo[Producto], J12, Tbl_Modelo[Total (€)])</f>
        <v>283213.87</v>
      </c>
      <c r="L12" s="151">
        <f>AVERAGEIF('2_Modelo'!A7:A79, J12, '2_Modelo'!D7:D79)</f>
        <v>133.93308333333334</v>
      </c>
      <c r="O12" s="152"/>
      <c r="R12" s="1"/>
      <c r="S12" cm="1">
        <f t="array" ref="S12">IF(B26="Alta",1,_xludf.NA())</f>
        <v>1</v>
      </c>
      <c r="T12" s="1" t="e" cm="1">
        <f t="array" aca="1" ref="T12" ca="1">IF(B26="Media",1,_xludf.NA())</f>
        <v>#NAME?</v>
      </c>
      <c r="U12" t="e" cm="1">
        <f t="array" aca="1" ref="U12" ca="1">IF(B26="Baja",1,_xludf.NA())</f>
        <v>#NAME?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</row>
    <row r="13" spans="1:150" ht="17" x14ac:dyDescent="0.25">
      <c r="A13" s="1"/>
      <c r="B13" s="1"/>
      <c r="C13" s="1"/>
      <c r="D13" s="1"/>
      <c r="E13" s="52"/>
      <c r="F13" s="1"/>
      <c r="G13" s="1"/>
      <c r="H13" s="1"/>
      <c r="I13" s="1"/>
      <c r="J13" s="74" t="s">
        <v>15</v>
      </c>
      <c r="K13" s="154">
        <f>SUMIF(Tbl_Modelo[Producto], J13, Tbl_Modelo[Total (€)])</f>
        <v>600311.11</v>
      </c>
      <c r="L13" s="151">
        <f>AVERAGEIF('2_Modelo'!A8:A80, J13, '2_Modelo'!D8:D80)</f>
        <v>154.60561666666666</v>
      </c>
      <c r="O13" s="152"/>
      <c r="R13" s="1"/>
      <c r="S13" cm="1">
        <f t="array" ref="S13">IF(B27="Alta",1,_xludf.NA())</f>
        <v>1</v>
      </c>
      <c r="T13" s="1" t="e" cm="1">
        <f t="array" aca="1" ref="T13" ca="1">IF(B27="Media",1,_xludf.NA())</f>
        <v>#NAME?</v>
      </c>
      <c r="U13" t="e" cm="1">
        <f t="array" aca="1" ref="U13" ca="1">IF(B27="Baja",1,_xludf.NA())</f>
        <v>#NAME?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</row>
    <row r="14" spans="1:150" ht="17" x14ac:dyDescent="0.25">
      <c r="A14" s="1"/>
      <c r="B14" s="1"/>
      <c r="C14" s="1"/>
      <c r="D14" s="1"/>
      <c r="E14" s="1"/>
      <c r="F14" s="1"/>
      <c r="G14" s="1"/>
      <c r="H14" s="1"/>
      <c r="I14" s="1"/>
      <c r="J14" s="74" t="s">
        <v>9</v>
      </c>
      <c r="K14" s="154">
        <f>SUMIF(Tbl_Modelo[Producto], J14, Tbl_Modelo[Total (€)])</f>
        <v>493353.36000000004</v>
      </c>
      <c r="L14" s="151">
        <f>AVERAGEIF('2_Modelo'!A9:A81, J14, '2_Modelo'!D9:D81)</f>
        <v>146.81383333333332</v>
      </c>
      <c r="O14" s="152"/>
      <c r="R14" s="1"/>
      <c r="S14" cm="1">
        <f t="array" ref="S14">IF(B28="Alta",1,_xludf.NA())</f>
        <v>1</v>
      </c>
      <c r="T14" s="1" t="e" cm="1">
        <f t="array" aca="1" ref="T14" ca="1">IF(B28="Media",1,_xludf.NA())</f>
        <v>#NAME?</v>
      </c>
      <c r="U14" t="e" cm="1">
        <f t="array" aca="1" ref="U14" ca="1">IF(B28="Baja",1,_xludf.NA())</f>
        <v>#NAME?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</row>
    <row r="15" spans="1:150" ht="17" x14ac:dyDescent="0.25">
      <c r="A15" s="1"/>
      <c r="B15" s="1"/>
      <c r="C15" s="1"/>
      <c r="D15" s="1"/>
      <c r="E15" s="1"/>
      <c r="F15" s="1"/>
      <c r="G15" s="1"/>
      <c r="H15" s="1"/>
      <c r="I15" s="1"/>
      <c r="J15" s="74" t="s">
        <v>22</v>
      </c>
      <c r="K15" s="154">
        <f>SUMIF(Tbl_Modelo[Producto], J15, Tbl_Modelo[Total (€)])</f>
        <v>332660.17</v>
      </c>
      <c r="L15" s="151">
        <f>AVERAGEIF('2_Modelo'!A10:A82, J15, '2_Modelo'!D10:D82)</f>
        <v>112.67018518518519</v>
      </c>
      <c r="N15" s="1"/>
      <c r="O15" s="152"/>
      <c r="R15" s="1"/>
      <c r="S15" cm="1">
        <f t="array" ref="S15">IF(B29="Alta",1,_xludf.NA())</f>
        <v>1</v>
      </c>
      <c r="T15" s="1" t="e" cm="1">
        <f t="array" aca="1" ref="T15" ca="1">IF(B29="Media",1,_xludf.NA())</f>
        <v>#NAME?</v>
      </c>
      <c r="U15" t="e" cm="1">
        <f t="array" aca="1" ref="U15" ca="1">IF(B29="Baja",1,_xludf.NA())</f>
        <v>#NAME?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</row>
    <row r="16" spans="1:150" ht="17" x14ac:dyDescent="0.25">
      <c r="A16" s="1"/>
      <c r="B16" s="1"/>
      <c r="C16" s="1"/>
      <c r="D16" s="1"/>
      <c r="E16" s="1"/>
      <c r="F16" s="1"/>
      <c r="G16" s="1"/>
      <c r="H16" s="1"/>
      <c r="I16" s="1"/>
      <c r="J16" s="75" t="s">
        <v>23</v>
      </c>
      <c r="K16" s="155">
        <f>SUMIF(Tbl_Modelo[Producto], J16, Tbl_Modelo[Total (€)])</f>
        <v>454354.23999999993</v>
      </c>
      <c r="L16" s="167">
        <f>AVERAGEIF('2_Modelo'!A11:A83, J16, '2_Modelo'!D11:D83)</f>
        <v>171.00092592592594</v>
      </c>
      <c r="N16" s="1"/>
      <c r="O16" s="152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</row>
    <row r="17" spans="1:150" ht="17" x14ac:dyDescent="0.25">
      <c r="A17" s="72" t="s">
        <v>168</v>
      </c>
      <c r="B17" s="72"/>
      <c r="C17" s="1"/>
      <c r="D17" s="1"/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</row>
    <row r="18" spans="1:150" ht="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</row>
    <row r="19" spans="1:150" ht="17" x14ac:dyDescent="0.25">
      <c r="A19" s="61" t="s">
        <v>4</v>
      </c>
      <c r="B19" s="150" t="s">
        <v>159</v>
      </c>
      <c r="C19" s="149"/>
      <c r="D19" s="1"/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</row>
    <row r="20" spans="1:150" ht="17" x14ac:dyDescent="0.25">
      <c r="A20" s="62" t="str" cm="1">
        <f t="array" ref="A20:A29">_xlfn._xlws.FILTER(Tbl_Modelo[País], Tbl_Modelo[Producto] = '2_Modelo'!N5)</f>
        <v>Alemania</v>
      </c>
      <c r="B20" s="67" t="str" cm="1">
        <f t="array" ref="B20:B29">_xlfn._xlws.FILTER(Tbl_Modelo[Clasificación Rentabilidad], Tbl_Modelo[Producto] = '2_Modelo'!N5)</f>
        <v>Alta</v>
      </c>
      <c r="C20" s="1"/>
      <c r="D20" s="1"/>
      <c r="E20" s="1"/>
      <c r="F20" s="1"/>
      <c r="G20" s="1"/>
      <c r="H20" s="1"/>
      <c r="I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</row>
    <row r="21" spans="1:150" ht="17" x14ac:dyDescent="0.25">
      <c r="A21" s="62" t="str">
        <v>China</v>
      </c>
      <c r="B21" s="67" t="str">
        <v>Alta</v>
      </c>
      <c r="C21" s="1"/>
      <c r="D21" s="1"/>
      <c r="H21" s="1"/>
      <c r="I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</row>
    <row r="22" spans="1:150" ht="17" x14ac:dyDescent="0.25">
      <c r="A22" s="62" t="str">
        <v>EE.UU.</v>
      </c>
      <c r="B22" s="68" t="str">
        <v>Baja</v>
      </c>
      <c r="C22" s="1"/>
      <c r="D22" s="1"/>
      <c r="H22" s="1"/>
      <c r="I22" s="1"/>
      <c r="J22" s="1"/>
      <c r="K22" s="1"/>
      <c r="L22" s="1"/>
      <c r="N22" s="1"/>
      <c r="O22" s="1"/>
      <c r="P22" s="1"/>
      <c r="Q22" s="1"/>
      <c r="R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</row>
    <row r="23" spans="1:150" ht="17" x14ac:dyDescent="0.25">
      <c r="A23" s="62" t="str">
        <v>España</v>
      </c>
      <c r="B23" s="69" t="str">
        <v>Alta</v>
      </c>
      <c r="C23" s="1"/>
      <c r="D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</row>
    <row r="24" spans="1:150" ht="17" x14ac:dyDescent="0.25">
      <c r="A24" s="59" t="str">
        <v>Francia</v>
      </c>
      <c r="B24" s="70" t="str">
        <v>Baja</v>
      </c>
      <c r="C24" s="1"/>
      <c r="D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</row>
    <row r="25" spans="1:150" ht="17" x14ac:dyDescent="0.25">
      <c r="A25" s="62" t="str">
        <v>Italia</v>
      </c>
      <c r="B25" s="67" t="str">
        <v>Alta</v>
      </c>
      <c r="C25" s="1"/>
      <c r="D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</row>
    <row r="26" spans="1:150" ht="17" x14ac:dyDescent="0.25">
      <c r="A26" s="62" t="str">
        <v>Japón</v>
      </c>
      <c r="B26" s="67" t="str">
        <v>Alta</v>
      </c>
      <c r="C26" s="1"/>
      <c r="D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</row>
    <row r="27" spans="1:150" ht="17" x14ac:dyDescent="0.25">
      <c r="A27" s="62" t="str">
        <v>México</v>
      </c>
      <c r="B27" s="67" t="str">
        <v>Alta</v>
      </c>
      <c r="C27" s="1"/>
      <c r="D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</row>
    <row r="28" spans="1:150" ht="17" x14ac:dyDescent="0.25">
      <c r="A28" s="62" t="str">
        <v>Portugal</v>
      </c>
      <c r="B28" s="67" t="str">
        <v>Alta</v>
      </c>
      <c r="C28" s="1"/>
      <c r="D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</row>
    <row r="29" spans="1:150" ht="17" x14ac:dyDescent="0.25">
      <c r="A29" s="60" t="str">
        <v>Reino Unido</v>
      </c>
      <c r="B29" s="69" t="str">
        <v>Alta</v>
      </c>
      <c r="C29" s="1"/>
      <c r="D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</row>
    <row r="30" spans="1:150" ht="17" x14ac:dyDescent="0.25">
      <c r="A30" s="1"/>
      <c r="B30" s="1"/>
      <c r="C30" s="1"/>
      <c r="D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</row>
    <row r="31" spans="1:150" ht="17" x14ac:dyDescent="0.25">
      <c r="A31" s="1"/>
      <c r="B31" s="1"/>
      <c r="C31" s="1"/>
      <c r="D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</row>
    <row r="32" spans="1:150" ht="17" x14ac:dyDescent="0.25">
      <c r="A32" s="1"/>
      <c r="B32" s="1"/>
      <c r="C32" s="1"/>
      <c r="D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</row>
    <row r="33" spans="1:150" ht="17" x14ac:dyDescent="0.25">
      <c r="A33" s="1"/>
      <c r="B33" s="1"/>
      <c r="C33" s="1"/>
      <c r="D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</row>
    <row r="34" spans="1:150" ht="1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</row>
    <row r="35" spans="1:150" ht="1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</row>
    <row r="36" spans="1:150" ht="26" x14ac:dyDescent="0.35">
      <c r="A36" s="190" t="s">
        <v>171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</row>
    <row r="37" spans="1:150" ht="1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</row>
    <row r="38" spans="1:150" ht="1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</row>
    <row r="39" spans="1:150" ht="1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</row>
    <row r="40" spans="1:150" ht="1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</row>
    <row r="41" spans="1:150" ht="1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</row>
    <row r="42" spans="1:150" ht="1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</row>
    <row r="43" spans="1:150" ht="1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</row>
    <row r="44" spans="1:150" ht="1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</row>
    <row r="45" spans="1:150" ht="1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</row>
    <row r="46" spans="1:150" ht="1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</row>
    <row r="47" spans="1:150" ht="1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</row>
    <row r="48" spans="1:150" ht="1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</row>
    <row r="49" spans="1:150" ht="1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</row>
    <row r="50" spans="1:150" ht="1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</row>
    <row r="51" spans="1:150" ht="1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</row>
    <row r="52" spans="1:150" ht="1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</row>
    <row r="53" spans="1:150" ht="1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</row>
    <row r="54" spans="1:150" ht="1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</row>
    <row r="55" spans="1:150" ht="1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</row>
    <row r="56" spans="1:150" ht="1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</row>
    <row r="57" spans="1:150" ht="1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</row>
    <row r="58" spans="1:150" ht="1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</row>
    <row r="59" spans="1:150" ht="1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</row>
    <row r="60" spans="1:150" ht="1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</row>
    <row r="61" spans="1:150" ht="1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</row>
    <row r="62" spans="1:150" ht="1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</row>
    <row r="63" spans="1:150" ht="1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</row>
    <row r="64" spans="1:150" ht="1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</row>
    <row r="65" spans="1:150" ht="1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</row>
    <row r="66" spans="1:150" ht="1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</row>
    <row r="67" spans="1:150" ht="1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</row>
    <row r="68" spans="1:150" ht="1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</row>
    <row r="69" spans="1:150" ht="1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</row>
    <row r="70" spans="1:150" ht="1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</row>
    <row r="71" spans="1:150" ht="1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</row>
    <row r="72" spans="1:150" ht="1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</row>
    <row r="73" spans="1:150" ht="1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</row>
    <row r="74" spans="1:150" ht="1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</row>
    <row r="75" spans="1:150" ht="1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</row>
    <row r="76" spans="1:150" ht="1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</row>
    <row r="77" spans="1:150" ht="1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</row>
    <row r="78" spans="1:150" ht="1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</row>
    <row r="79" spans="1:150" ht="1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</row>
    <row r="80" spans="1:150" ht="1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</row>
    <row r="81" spans="1:150" ht="1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</row>
    <row r="82" spans="1:150" ht="1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</row>
    <row r="83" spans="1:150" ht="1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</row>
    <row r="84" spans="1:150" ht="1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</row>
    <row r="85" spans="1:150" ht="1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</row>
    <row r="86" spans="1:150" ht="1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</row>
    <row r="87" spans="1:150" ht="1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</row>
    <row r="88" spans="1:150" ht="1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</row>
    <row r="89" spans="1:150" ht="1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</row>
    <row r="90" spans="1:150" ht="1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</row>
    <row r="91" spans="1:150" ht="1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</row>
    <row r="92" spans="1:150" ht="1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</row>
    <row r="93" spans="1:150" ht="1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</row>
    <row r="94" spans="1:150" ht="1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</row>
    <row r="95" spans="1:150" ht="1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</row>
    <row r="96" spans="1:150" ht="1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</row>
    <row r="97" spans="1:150" ht="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</row>
    <row r="98" spans="1:150" ht="1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</row>
    <row r="99" spans="1:150" ht="1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</row>
    <row r="100" spans="1:150" ht="1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</row>
    <row r="101" spans="1:150" ht="1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</row>
    <row r="102" spans="1:150" ht="1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</row>
    <row r="103" spans="1:150" ht="1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</row>
    <row r="104" spans="1:150" ht="1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</row>
    <row r="105" spans="1:150" ht="1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</row>
    <row r="106" spans="1:150" ht="1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</row>
    <row r="107" spans="1:150" ht="1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</row>
    <row r="108" spans="1:150" ht="1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</row>
    <row r="109" spans="1:150" ht="1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</row>
    <row r="110" spans="1:150" ht="1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</row>
    <row r="111" spans="1:150" ht="1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</row>
    <row r="112" spans="1:150" ht="1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</row>
    <row r="113" spans="1:150" ht="1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</row>
    <row r="114" spans="1:150" ht="1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</row>
    <row r="115" spans="1:150" ht="1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</row>
    <row r="116" spans="1:150" ht="1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</row>
    <row r="117" spans="1:150" ht="1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</row>
    <row r="118" spans="1:150" ht="1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</row>
    <row r="119" spans="1:150" ht="1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</row>
  </sheetData>
  <mergeCells count="5">
    <mergeCell ref="D6:E6"/>
    <mergeCell ref="A36:K36"/>
    <mergeCell ref="D3:H3"/>
    <mergeCell ref="D1:H1"/>
    <mergeCell ref="J6:L6"/>
  </mergeCells>
  <conditionalFormatting sqref="B20:B29">
    <cfRule type="containsText" dxfId="5" priority="1" operator="containsText" text="Baja">
      <formula>NOT(ISERROR(SEARCH("Baja",B20)))</formula>
    </cfRule>
    <cfRule type="containsText" dxfId="4" priority="2" operator="containsText" text="Media">
      <formula>NOT(ISERROR(SEARCH("Media",B20)))</formula>
    </cfRule>
    <cfRule type="containsText" dxfId="3" priority="3" operator="containsText" text="Alta">
      <formula>NOT(ISERROR(SEARCH("Alta",B20)))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6F20-943B-374D-A67B-1AA41EFF3011}">
  <dimension ref="A1:ED1265"/>
  <sheetViews>
    <sheetView zoomScale="90" zoomScaleNormal="56" workbookViewId="0">
      <selection activeCell="C3" sqref="C3"/>
    </sheetView>
  </sheetViews>
  <sheetFormatPr baseColWidth="10" defaultRowHeight="16" x14ac:dyDescent="0.2"/>
  <cols>
    <col min="1" max="1" width="13" customWidth="1"/>
    <col min="2" max="2" width="13.5" customWidth="1"/>
    <col min="3" max="3" width="21.5" customWidth="1"/>
    <col min="4" max="4" width="24" customWidth="1"/>
    <col min="5" max="5" width="26" customWidth="1"/>
    <col min="6" max="6" width="28" customWidth="1"/>
    <col min="7" max="7" width="27.5" customWidth="1"/>
    <col min="8" max="8" width="24" customWidth="1"/>
    <col min="9" max="9" width="23.1640625" customWidth="1"/>
    <col min="10" max="10" width="24" customWidth="1"/>
    <col min="11" max="11" width="6.1640625" customWidth="1"/>
    <col min="12" max="12" width="30.1640625" customWidth="1"/>
    <col min="13" max="13" width="16.83203125" customWidth="1"/>
    <col min="14" max="14" width="23.33203125" customWidth="1"/>
    <col min="15" max="15" width="22.1640625" customWidth="1"/>
    <col min="16" max="16" width="22.5" customWidth="1"/>
    <col min="17" max="17" width="29.33203125" customWidth="1"/>
    <col min="18" max="18" width="22.1640625" customWidth="1"/>
  </cols>
  <sheetData>
    <row r="1" spans="1:134" ht="23" x14ac:dyDescent="0.3">
      <c r="A1" s="185" t="s">
        <v>202</v>
      </c>
      <c r="B1" s="185"/>
      <c r="C1" s="185"/>
      <c r="D1" s="185"/>
      <c r="E1" s="185"/>
      <c r="F1" s="185"/>
      <c r="G1" s="185"/>
      <c r="H1" s="185"/>
      <c r="I1" s="185"/>
      <c r="J1" s="185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</row>
    <row r="2" spans="1:134" ht="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</row>
    <row r="3" spans="1:134" ht="17" x14ac:dyDescent="0.25">
      <c r="A3" s="1"/>
      <c r="B3" s="1"/>
      <c r="C3" s="1"/>
      <c r="D3" s="206" t="s">
        <v>231</v>
      </c>
      <c r="E3" s="207"/>
      <c r="F3" s="207"/>
      <c r="G3" s="207"/>
      <c r="H3" s="208"/>
      <c r="I3" s="9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</row>
    <row r="4" spans="1:134" ht="17" x14ac:dyDescent="0.25">
      <c r="A4" s="1"/>
      <c r="B4" s="1"/>
      <c r="C4" s="1"/>
      <c r="D4" s="203" t="s">
        <v>184</v>
      </c>
      <c r="E4" s="204"/>
      <c r="F4" s="204"/>
      <c r="G4" s="204"/>
      <c r="H4" s="205"/>
      <c r="I4" s="9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</row>
    <row r="5" spans="1:134" ht="17" x14ac:dyDescent="0.25">
      <c r="A5" s="1"/>
      <c r="B5" s="1"/>
      <c r="C5" s="1"/>
      <c r="D5" s="197" t="s">
        <v>185</v>
      </c>
      <c r="E5" s="198"/>
      <c r="F5" s="198"/>
      <c r="G5" s="198"/>
      <c r="H5" s="199"/>
      <c r="I5" s="99"/>
      <c r="J5" s="1"/>
      <c r="K5" s="1"/>
      <c r="L5" s="1"/>
      <c r="M5" s="1"/>
      <c r="N5" s="196" t="s">
        <v>183</v>
      </c>
      <c r="O5" s="196"/>
      <c r="P5" s="196"/>
      <c r="Q5" s="196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</row>
    <row r="6" spans="1:134" ht="17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</row>
    <row r="7" spans="1:134" ht="17" x14ac:dyDescent="0.25">
      <c r="A7" s="16" t="s">
        <v>3</v>
      </c>
      <c r="B7" s="16" t="s">
        <v>4</v>
      </c>
      <c r="C7" s="16" t="s">
        <v>173</v>
      </c>
      <c r="D7" s="16" t="s">
        <v>174</v>
      </c>
      <c r="E7" s="16" t="s">
        <v>172</v>
      </c>
      <c r="F7" s="16" t="s">
        <v>186</v>
      </c>
      <c r="G7" s="24" t="s">
        <v>175</v>
      </c>
      <c r="H7" s="16" t="s">
        <v>177</v>
      </c>
      <c r="I7" s="16" t="s">
        <v>176</v>
      </c>
      <c r="J7" s="16" t="s">
        <v>178</v>
      </c>
      <c r="K7" s="1"/>
      <c r="L7" s="78" t="s">
        <v>179</v>
      </c>
      <c r="M7" s="1"/>
      <c r="N7" s="195" t="s">
        <v>180</v>
      </c>
      <c r="O7" s="195"/>
      <c r="P7" s="78" t="s">
        <v>181</v>
      </c>
      <c r="Q7" s="78" t="s">
        <v>182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 spans="1:134" ht="17" x14ac:dyDescent="0.25">
      <c r="A8" s="86" t="s">
        <v>12</v>
      </c>
      <c r="B8" s="86" t="s">
        <v>10</v>
      </c>
      <c r="C8" s="87">
        <f xml:space="preserve"> AVERAGEIFS('1_Datos'!E:E, '1_Datos'!B:B, A8, '1_Datos'!C:C, B8)</f>
        <v>89.685000000000002</v>
      </c>
      <c r="D8" s="87">
        <f>0.65*C8</f>
        <v>58.295250000000003</v>
      </c>
      <c r="E8" s="9">
        <v>120</v>
      </c>
      <c r="F8" s="9">
        <v>200</v>
      </c>
      <c r="G8" s="88">
        <f>Tbl_Sin_Restricciones[[#This Row],[Precio unitario (€)]]-Tbl_Sin_Restricciones[[#This Row],[Coste unitario (€)]]</f>
        <v>31.389749999999999</v>
      </c>
      <c r="H8" s="93">
        <v>120</v>
      </c>
      <c r="I8" s="88">
        <f>Tbl_Sin_Restricciones[[#This Row],[Beneficio unitario (€)]]*Tbl_Sin_Restricciones[[#This Row],[Unidades pedidas]]</f>
        <v>3766.77</v>
      </c>
      <c r="J8" s="131">
        <f>Tbl_Sin_Restricciones[[#This Row],[Beneficio unitario (€)]] * Tbl_Sin_Restricciones[[#This Row],[Unidades a exportar]]</f>
        <v>3766.77</v>
      </c>
      <c r="K8" s="1"/>
      <c r="L8" s="131">
        <f>SUM(Tbl_Sin_Restricciones[Beneficio real (€)])</f>
        <v>507220.2680416666</v>
      </c>
      <c r="M8" s="1"/>
      <c r="N8" s="89" t="s">
        <v>12</v>
      </c>
      <c r="O8" s="94">
        <f>SUMIF(Tbl_Sin_Restricciones[Producto], N8, Tbl_Sin_Restricciones[Unidades a exportar])</f>
        <v>1320</v>
      </c>
      <c r="P8" s="85">
        <f>SUMIF(Tbl_Sin_Restricciones[Producto], N8, Tbl_Sin_Restricciones[Cantidad máxima])</f>
        <v>1700</v>
      </c>
      <c r="Q8" s="124">
        <f>O8/P8</f>
        <v>0.77647058823529413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</row>
    <row r="9" spans="1:134" ht="17" x14ac:dyDescent="0.25">
      <c r="A9" s="8" t="s">
        <v>12</v>
      </c>
      <c r="B9" s="8" t="s">
        <v>18</v>
      </c>
      <c r="C9" s="87">
        <f xml:space="preserve"> AVERAGEIFS('1_Datos'!E:E, '1_Datos'!B:B, A9, '1_Datos'!C:C, B9)</f>
        <v>151.83666666666667</v>
      </c>
      <c r="D9" s="87">
        <f t="shared" ref="D9:D72" si="0">0.65*C9</f>
        <v>98.693833333333345</v>
      </c>
      <c r="E9" s="9">
        <v>145</v>
      </c>
      <c r="F9" s="9">
        <v>180</v>
      </c>
      <c r="G9" s="88">
        <f>Tbl_Sin_Restricciones[[#This Row],[Precio unitario (€)]]-Tbl_Sin_Restricciones[[#This Row],[Coste unitario (€)]]</f>
        <v>53.142833333333328</v>
      </c>
      <c r="H9" s="93">
        <v>145</v>
      </c>
      <c r="I9" s="88">
        <f>Tbl_Sin_Restricciones[[#This Row],[Beneficio unitario (€)]]*Tbl_Sin_Restricciones[[#This Row],[Unidades pedidas]]</f>
        <v>7705.7108333333326</v>
      </c>
      <c r="J9" s="131">
        <f>Tbl_Sin_Restricciones[[#This Row],[Beneficio unitario (€)]] * Tbl_Sin_Restricciones[[#This Row],[Unidades a exportar]]</f>
        <v>7705.7108333333326</v>
      </c>
      <c r="K9" s="1"/>
      <c r="L9" s="1"/>
      <c r="M9" s="1"/>
      <c r="N9" s="90" t="s">
        <v>7</v>
      </c>
      <c r="O9" s="94">
        <f>SUMIF(Tbl_Sin_Restricciones[Producto], N9, Tbl_Sin_Restricciones[Unidades a exportar])</f>
        <v>1420</v>
      </c>
      <c r="P9" s="85">
        <f>SUMIF(Tbl_Sin_Restricciones[Producto], N9, Tbl_Sin_Restricciones[Cantidad máxima])</f>
        <v>1675</v>
      </c>
      <c r="Q9" s="125">
        <f t="shared" ref="Q9:Q15" si="1">O9/P9</f>
        <v>0.84776119402985073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</row>
    <row r="10" spans="1:134" ht="17" x14ac:dyDescent="0.25">
      <c r="A10" s="86" t="s">
        <v>12</v>
      </c>
      <c r="B10" s="86" t="s">
        <v>20</v>
      </c>
      <c r="C10" s="87">
        <f xml:space="preserve"> AVERAGEIFS('1_Datos'!E:E, '1_Datos'!B:B, A10, '1_Datos'!C:C, B10)</f>
        <v>131.125</v>
      </c>
      <c r="D10" s="87">
        <f t="shared" si="0"/>
        <v>85.231250000000003</v>
      </c>
      <c r="E10" s="9">
        <v>130</v>
      </c>
      <c r="F10" s="9">
        <v>160</v>
      </c>
      <c r="G10" s="88">
        <f>Tbl_Sin_Restricciones[[#This Row],[Precio unitario (€)]]-Tbl_Sin_Restricciones[[#This Row],[Coste unitario (€)]]</f>
        <v>45.893749999999997</v>
      </c>
      <c r="H10" s="93">
        <v>130</v>
      </c>
      <c r="I10" s="88">
        <f>Tbl_Sin_Restricciones[[#This Row],[Beneficio unitario (€)]]*Tbl_Sin_Restricciones[[#This Row],[Unidades pedidas]]</f>
        <v>5966.1875</v>
      </c>
      <c r="J10" s="131">
        <f>Tbl_Sin_Restricciones[[#This Row],[Beneficio unitario (€)]] * Tbl_Sin_Restricciones[[#This Row],[Unidades a exportar]]</f>
        <v>5966.1875</v>
      </c>
      <c r="K10" s="1"/>
      <c r="L10" s="1"/>
      <c r="M10" s="1"/>
      <c r="N10" s="90" t="s">
        <v>17</v>
      </c>
      <c r="O10" s="94">
        <f>SUMIF(Tbl_Sin_Restricciones[Producto], N10, Tbl_Sin_Restricciones[Unidades a exportar])</f>
        <v>1220</v>
      </c>
      <c r="P10" s="85">
        <f>SUMIF(Tbl_Sin_Restricciones[Producto], N10, Tbl_Sin_Restricciones[Cantidad máxima])</f>
        <v>1425</v>
      </c>
      <c r="Q10" s="125">
        <f t="shared" si="1"/>
        <v>0.85614035087719298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</row>
    <row r="11" spans="1:134" ht="17" x14ac:dyDescent="0.25">
      <c r="A11" s="8" t="s">
        <v>12</v>
      </c>
      <c r="B11" s="8" t="s">
        <v>13</v>
      </c>
      <c r="C11" s="87">
        <f xml:space="preserve"> AVERAGEIFS('1_Datos'!E:E, '1_Datos'!B:B, A11, '1_Datos'!C:C, B11)</f>
        <v>192.89</v>
      </c>
      <c r="D11" s="87">
        <f t="shared" si="0"/>
        <v>125.3785</v>
      </c>
      <c r="E11" s="9">
        <v>170</v>
      </c>
      <c r="F11" s="9">
        <v>190</v>
      </c>
      <c r="G11" s="88">
        <f>Tbl_Sin_Restricciones[[#This Row],[Precio unitario (€)]]-Tbl_Sin_Restricciones[[#This Row],[Coste unitario (€)]]</f>
        <v>67.511499999999984</v>
      </c>
      <c r="H11" s="93">
        <v>170</v>
      </c>
      <c r="I11" s="88">
        <f>Tbl_Sin_Restricciones[[#This Row],[Beneficio unitario (€)]]*Tbl_Sin_Restricciones[[#This Row],[Unidades pedidas]]</f>
        <v>11476.954999999998</v>
      </c>
      <c r="J11" s="131">
        <f>Tbl_Sin_Restricciones[[#This Row],[Beneficio unitario (€)]] * Tbl_Sin_Restricciones[[#This Row],[Unidades a exportar]]</f>
        <v>11476.954999999998</v>
      </c>
      <c r="K11" s="1"/>
      <c r="L11" s="1"/>
      <c r="M11" s="1"/>
      <c r="N11" s="90" t="s">
        <v>24</v>
      </c>
      <c r="O11" s="94">
        <f>SUMIF(Tbl_Sin_Restricciones[Producto], N11, Tbl_Sin_Restricciones[Unidades a exportar])</f>
        <v>805</v>
      </c>
      <c r="P11" s="85">
        <f>SUMIF(Tbl_Sin_Restricciones[Producto], N11, Tbl_Sin_Restricciones[Cantidad máxima])</f>
        <v>950</v>
      </c>
      <c r="Q11" s="125">
        <f t="shared" si="1"/>
        <v>0.84736842105263155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</row>
    <row r="12" spans="1:134" ht="17" x14ac:dyDescent="0.25">
      <c r="A12" s="86" t="s">
        <v>12</v>
      </c>
      <c r="B12" s="86" t="s">
        <v>16</v>
      </c>
      <c r="C12" s="87">
        <f xml:space="preserve"> AVERAGEIFS('1_Datos'!E:E, '1_Datos'!B:B, A12, '1_Datos'!C:C, B12)</f>
        <v>157.11249999999998</v>
      </c>
      <c r="D12" s="87">
        <f t="shared" si="0"/>
        <v>102.12312499999999</v>
      </c>
      <c r="E12" s="9">
        <v>180</v>
      </c>
      <c r="F12" s="9">
        <v>195</v>
      </c>
      <c r="G12" s="88">
        <f>Tbl_Sin_Restricciones[[#This Row],[Precio unitario (€)]]-Tbl_Sin_Restricciones[[#This Row],[Coste unitario (€)]]</f>
        <v>54.989374999999995</v>
      </c>
      <c r="H12" s="93">
        <v>180</v>
      </c>
      <c r="I12" s="88">
        <f>Tbl_Sin_Restricciones[[#This Row],[Beneficio unitario (€)]]*Tbl_Sin_Restricciones[[#This Row],[Unidades pedidas]]</f>
        <v>9898.0874999999996</v>
      </c>
      <c r="J12" s="131">
        <f>Tbl_Sin_Restricciones[[#This Row],[Beneficio unitario (€)]] * Tbl_Sin_Restricciones[[#This Row],[Unidades a exportar]]</f>
        <v>9898.0874999999996</v>
      </c>
      <c r="K12" s="1"/>
      <c r="L12" s="1"/>
      <c r="M12" s="1"/>
      <c r="N12" s="90" t="s">
        <v>15</v>
      </c>
      <c r="O12" s="94">
        <f>SUMIF(Tbl_Sin_Restricciones[Producto], N12, Tbl_Sin_Restricciones[Unidades a exportar])</f>
        <v>1335</v>
      </c>
      <c r="P12" s="85">
        <f>SUMIF(Tbl_Sin_Restricciones[Producto], N12, Tbl_Sin_Restricciones[Cantidad máxima])</f>
        <v>1500</v>
      </c>
      <c r="Q12" s="125">
        <f t="shared" si="1"/>
        <v>0.89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 spans="1:134" ht="17" x14ac:dyDescent="0.25">
      <c r="A13" s="8" t="s">
        <v>12</v>
      </c>
      <c r="B13" s="8" t="s">
        <v>8</v>
      </c>
      <c r="C13" s="87">
        <f xml:space="preserve"> AVERAGEIFS('1_Datos'!E:E, '1_Datos'!B:B, A13, '1_Datos'!C:C, B13)</f>
        <v>84.2</v>
      </c>
      <c r="D13" s="87">
        <f t="shared" si="0"/>
        <v>54.730000000000004</v>
      </c>
      <c r="E13" s="9">
        <v>95</v>
      </c>
      <c r="F13" s="9">
        <v>140</v>
      </c>
      <c r="G13" s="88">
        <f>Tbl_Sin_Restricciones[[#This Row],[Precio unitario (€)]]-Tbl_Sin_Restricciones[[#This Row],[Coste unitario (€)]]</f>
        <v>29.47</v>
      </c>
      <c r="H13" s="93">
        <v>95</v>
      </c>
      <c r="I13" s="88">
        <f>Tbl_Sin_Restricciones[[#This Row],[Beneficio unitario (€)]]*Tbl_Sin_Restricciones[[#This Row],[Unidades pedidas]]</f>
        <v>2799.65</v>
      </c>
      <c r="J13" s="131">
        <f>Tbl_Sin_Restricciones[[#This Row],[Beneficio unitario (€)]] * Tbl_Sin_Restricciones[[#This Row],[Unidades a exportar]]</f>
        <v>2799.65</v>
      </c>
      <c r="K13" s="1"/>
      <c r="L13" s="1"/>
      <c r="M13" s="1"/>
      <c r="N13" s="90" t="s">
        <v>9</v>
      </c>
      <c r="O13" s="94">
        <f>SUMIF(Tbl_Sin_Restricciones[Producto], N13, Tbl_Sin_Restricciones[Unidades a exportar])</f>
        <v>1295</v>
      </c>
      <c r="P13" s="85">
        <f>SUMIF(Tbl_Sin_Restricciones[Producto], N13, Tbl_Sin_Restricciones[Cantidad máxima])</f>
        <v>1445</v>
      </c>
      <c r="Q13" s="125">
        <f t="shared" si="1"/>
        <v>0.89619377162629754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</row>
    <row r="14" spans="1:134" ht="17" x14ac:dyDescent="0.25">
      <c r="A14" s="86" t="s">
        <v>12</v>
      </c>
      <c r="B14" s="86" t="s">
        <v>14</v>
      </c>
      <c r="C14" s="87">
        <f xml:space="preserve"> AVERAGEIFS('1_Datos'!E:E, '1_Datos'!B:B, A14, '1_Datos'!C:C, B14)</f>
        <v>123.43</v>
      </c>
      <c r="D14" s="87">
        <f t="shared" si="0"/>
        <v>80.229500000000002</v>
      </c>
      <c r="E14" s="9">
        <v>140</v>
      </c>
      <c r="F14" s="9">
        <v>180</v>
      </c>
      <c r="G14" s="88">
        <f>Tbl_Sin_Restricciones[[#This Row],[Precio unitario (€)]]-Tbl_Sin_Restricciones[[#This Row],[Coste unitario (€)]]</f>
        <v>43.200500000000005</v>
      </c>
      <c r="H14" s="93">
        <v>140</v>
      </c>
      <c r="I14" s="88">
        <f>Tbl_Sin_Restricciones[[#This Row],[Beneficio unitario (€)]]*Tbl_Sin_Restricciones[[#This Row],[Unidades pedidas]]</f>
        <v>6048.0700000000006</v>
      </c>
      <c r="J14" s="131">
        <f>Tbl_Sin_Restricciones[[#This Row],[Beneficio unitario (€)]] * Tbl_Sin_Restricciones[[#This Row],[Unidades a exportar]]</f>
        <v>6048.0700000000006</v>
      </c>
      <c r="K14" s="1"/>
      <c r="L14" s="1"/>
      <c r="M14" s="1"/>
      <c r="N14" s="90" t="s">
        <v>22</v>
      </c>
      <c r="O14" s="94">
        <f>SUMIF(Tbl_Sin_Restricciones[Producto], N14, Tbl_Sin_Restricciones[Unidades a exportar])</f>
        <v>1280</v>
      </c>
      <c r="P14" s="85">
        <f>SUMIF(Tbl_Sin_Restricciones[Producto], N14, Tbl_Sin_Restricciones[Cantidad máxima])</f>
        <v>1415</v>
      </c>
      <c r="Q14" s="125">
        <f t="shared" si="1"/>
        <v>0.90459363957597172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</row>
    <row r="15" spans="1:134" ht="17" x14ac:dyDescent="0.25">
      <c r="A15" s="8" t="s">
        <v>12</v>
      </c>
      <c r="B15" s="8" t="s">
        <v>19</v>
      </c>
      <c r="C15" s="87">
        <f xml:space="preserve"> AVERAGEIFS('1_Datos'!E:E, '1_Datos'!B:B, A15, '1_Datos'!C:C, B15)</f>
        <v>128.12</v>
      </c>
      <c r="D15" s="87">
        <f t="shared" si="0"/>
        <v>83.278000000000006</v>
      </c>
      <c r="E15" s="9">
        <v>105</v>
      </c>
      <c r="F15" s="9">
        <v>135</v>
      </c>
      <c r="G15" s="88">
        <f>Tbl_Sin_Restricciones[[#This Row],[Precio unitario (€)]]-Tbl_Sin_Restricciones[[#This Row],[Coste unitario (€)]]</f>
        <v>44.841999999999999</v>
      </c>
      <c r="H15" s="93">
        <v>105</v>
      </c>
      <c r="I15" s="88">
        <f>Tbl_Sin_Restricciones[[#This Row],[Beneficio unitario (€)]]*Tbl_Sin_Restricciones[[#This Row],[Unidades pedidas]]</f>
        <v>4708.41</v>
      </c>
      <c r="J15" s="131">
        <f>Tbl_Sin_Restricciones[[#This Row],[Beneficio unitario (€)]] * Tbl_Sin_Restricciones[[#This Row],[Unidades a exportar]]</f>
        <v>4708.41</v>
      </c>
      <c r="K15" s="1"/>
      <c r="L15" s="1"/>
      <c r="M15" s="1"/>
      <c r="N15" s="91" t="s">
        <v>23</v>
      </c>
      <c r="O15" s="95">
        <f>SUMIF(Tbl_Sin_Restricciones[Producto], N15, Tbl_Sin_Restricciones[Unidades a exportar])</f>
        <v>1155</v>
      </c>
      <c r="P15" s="92">
        <f>SUMIF(Tbl_Sin_Restricciones[Producto], N15, Tbl_Sin_Restricciones[Cantidad máxima])</f>
        <v>1255</v>
      </c>
      <c r="Q15" s="126">
        <f t="shared" si="1"/>
        <v>0.92031872509960155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</row>
    <row r="16" spans="1:134" ht="17" x14ac:dyDescent="0.25">
      <c r="A16" s="86" t="s">
        <v>12</v>
      </c>
      <c r="B16" s="86" t="s">
        <v>21</v>
      </c>
      <c r="C16" s="87">
        <f xml:space="preserve"> AVERAGEIFS('1_Datos'!E:E, '1_Datos'!B:B, A16, '1_Datos'!C:C, B16)</f>
        <v>223.69</v>
      </c>
      <c r="D16" s="87">
        <f t="shared" si="0"/>
        <v>145.39850000000001</v>
      </c>
      <c r="E16" s="9">
        <v>125</v>
      </c>
      <c r="F16" s="9">
        <v>170</v>
      </c>
      <c r="G16" s="88">
        <f>Tbl_Sin_Restricciones[[#This Row],[Precio unitario (€)]]-Tbl_Sin_Restricciones[[#This Row],[Coste unitario (€)]]</f>
        <v>78.291499999999985</v>
      </c>
      <c r="H16" s="93">
        <v>125</v>
      </c>
      <c r="I16" s="88">
        <f>Tbl_Sin_Restricciones[[#This Row],[Beneficio unitario (€)]]*Tbl_Sin_Restricciones[[#This Row],[Unidades pedidas]]</f>
        <v>9786.4374999999982</v>
      </c>
      <c r="J16" s="131">
        <f>Tbl_Sin_Restricciones[[#This Row],[Beneficio unitario (€)]] * Tbl_Sin_Restricciones[[#This Row],[Unidades a exportar]]</f>
        <v>9786.4374999999982</v>
      </c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</row>
    <row r="17" spans="1:134" ht="17" x14ac:dyDescent="0.25">
      <c r="A17" s="8" t="s">
        <v>12</v>
      </c>
      <c r="B17" s="8" t="s">
        <v>11</v>
      </c>
      <c r="C17" s="87">
        <f xml:space="preserve"> AVERAGEIFS('1_Datos'!E:E, '1_Datos'!B:B, A17, '1_Datos'!C:C, B17)</f>
        <v>122.89999999999999</v>
      </c>
      <c r="D17" s="87">
        <f t="shared" si="0"/>
        <v>79.884999999999991</v>
      </c>
      <c r="E17" s="9">
        <v>110</v>
      </c>
      <c r="F17" s="9">
        <v>150</v>
      </c>
      <c r="G17" s="88">
        <f>Tbl_Sin_Restricciones[[#This Row],[Precio unitario (€)]]-Tbl_Sin_Restricciones[[#This Row],[Coste unitario (€)]]</f>
        <v>43.015000000000001</v>
      </c>
      <c r="H17" s="93">
        <v>110</v>
      </c>
      <c r="I17" s="88">
        <f>Tbl_Sin_Restricciones[[#This Row],[Beneficio unitario (€)]]*Tbl_Sin_Restricciones[[#This Row],[Unidades pedidas]]</f>
        <v>4731.6499999999996</v>
      </c>
      <c r="J17" s="131">
        <f>Tbl_Sin_Restricciones[[#This Row],[Beneficio unitario (€)]] * Tbl_Sin_Restricciones[[#This Row],[Unidades a exportar]]</f>
        <v>4731.6499999999996</v>
      </c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</row>
    <row r="18" spans="1:134" ht="17" x14ac:dyDescent="0.25">
      <c r="A18" s="86" t="s">
        <v>7</v>
      </c>
      <c r="B18" s="86" t="s">
        <v>10</v>
      </c>
      <c r="C18" s="87">
        <f xml:space="preserve"> AVERAGEIFS('1_Datos'!E:E, '1_Datos'!B:B, A18, '1_Datos'!C:C, B18)</f>
        <v>160.595</v>
      </c>
      <c r="D18" s="87">
        <f t="shared" si="0"/>
        <v>104.38675000000001</v>
      </c>
      <c r="E18" s="9">
        <v>155</v>
      </c>
      <c r="F18" s="9">
        <v>180</v>
      </c>
      <c r="G18" s="88">
        <f>Tbl_Sin_Restricciones[[#This Row],[Precio unitario (€)]]-Tbl_Sin_Restricciones[[#This Row],[Coste unitario (€)]]</f>
        <v>56.208249999999992</v>
      </c>
      <c r="H18" s="93">
        <v>155</v>
      </c>
      <c r="I18" s="88">
        <f>Tbl_Sin_Restricciones[[#This Row],[Beneficio unitario (€)]]*Tbl_Sin_Restricciones[[#This Row],[Unidades pedidas]]</f>
        <v>8712.2787499999995</v>
      </c>
      <c r="J18" s="131">
        <f>Tbl_Sin_Restricciones[[#This Row],[Beneficio unitario (€)]] * Tbl_Sin_Restricciones[[#This Row],[Unidades a exportar]]</f>
        <v>8712.2787499999995</v>
      </c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</row>
    <row r="19" spans="1:134" ht="17" x14ac:dyDescent="0.25">
      <c r="A19" s="8" t="s">
        <v>7</v>
      </c>
      <c r="B19" s="8" t="s">
        <v>18</v>
      </c>
      <c r="C19" s="87">
        <f xml:space="preserve"> AVERAGEIFS('1_Datos'!E:E, '1_Datos'!B:B, A19, '1_Datos'!C:C, B19)</f>
        <v>186.95</v>
      </c>
      <c r="D19" s="87">
        <f t="shared" si="0"/>
        <v>121.5175</v>
      </c>
      <c r="E19" s="9">
        <v>170</v>
      </c>
      <c r="F19" s="9">
        <v>200</v>
      </c>
      <c r="G19" s="88">
        <f>Tbl_Sin_Restricciones[[#This Row],[Precio unitario (€)]]-Tbl_Sin_Restricciones[[#This Row],[Coste unitario (€)]]</f>
        <v>65.43249999999999</v>
      </c>
      <c r="H19" s="93">
        <v>170</v>
      </c>
      <c r="I19" s="88">
        <f>Tbl_Sin_Restricciones[[#This Row],[Beneficio unitario (€)]]*Tbl_Sin_Restricciones[[#This Row],[Unidades pedidas]]</f>
        <v>11123.524999999998</v>
      </c>
      <c r="J19" s="131">
        <f>Tbl_Sin_Restricciones[[#This Row],[Beneficio unitario (€)]] * Tbl_Sin_Restricciones[[#This Row],[Unidades a exportar]]</f>
        <v>11123.524999999998</v>
      </c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</row>
    <row r="20" spans="1:134" ht="17" x14ac:dyDescent="0.25">
      <c r="A20" s="86" t="s">
        <v>7</v>
      </c>
      <c r="B20" s="86" t="s">
        <v>20</v>
      </c>
      <c r="C20" s="87">
        <f xml:space="preserve"> AVERAGEIFS('1_Datos'!E:E, '1_Datos'!B:B, A20, '1_Datos'!C:C, B20)</f>
        <v>73.77</v>
      </c>
      <c r="D20" s="87">
        <f t="shared" si="0"/>
        <v>47.950499999999998</v>
      </c>
      <c r="E20" s="9">
        <v>100</v>
      </c>
      <c r="F20" s="9">
        <v>140</v>
      </c>
      <c r="G20" s="88">
        <f>Tbl_Sin_Restricciones[[#This Row],[Precio unitario (€)]]-Tbl_Sin_Restricciones[[#This Row],[Coste unitario (€)]]</f>
        <v>25.819499999999998</v>
      </c>
      <c r="H20" s="93">
        <v>100</v>
      </c>
      <c r="I20" s="88">
        <f>Tbl_Sin_Restricciones[[#This Row],[Beneficio unitario (€)]]*Tbl_Sin_Restricciones[[#This Row],[Unidades pedidas]]</f>
        <v>2581.9499999999998</v>
      </c>
      <c r="J20" s="131">
        <f>Tbl_Sin_Restricciones[[#This Row],[Beneficio unitario (€)]] * Tbl_Sin_Restricciones[[#This Row],[Unidades a exportar]]</f>
        <v>2581.9499999999998</v>
      </c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</row>
    <row r="21" spans="1:134" ht="17" x14ac:dyDescent="0.25">
      <c r="A21" s="8" t="s">
        <v>7</v>
      </c>
      <c r="B21" s="8" t="s">
        <v>13</v>
      </c>
      <c r="C21" s="87">
        <f xml:space="preserve"> AVERAGEIFS('1_Datos'!E:E, '1_Datos'!B:B, A21, '1_Datos'!C:C, B21)</f>
        <v>162.52666666666667</v>
      </c>
      <c r="D21" s="87">
        <f t="shared" si="0"/>
        <v>105.64233333333334</v>
      </c>
      <c r="E21" s="9">
        <v>90</v>
      </c>
      <c r="F21" s="9">
        <v>130</v>
      </c>
      <c r="G21" s="88">
        <f>Tbl_Sin_Restricciones[[#This Row],[Precio unitario (€)]]-Tbl_Sin_Restricciones[[#This Row],[Coste unitario (€)]]</f>
        <v>56.884333333333331</v>
      </c>
      <c r="H21" s="93">
        <v>90</v>
      </c>
      <c r="I21" s="88">
        <f>Tbl_Sin_Restricciones[[#This Row],[Beneficio unitario (€)]]*Tbl_Sin_Restricciones[[#This Row],[Unidades pedidas]]</f>
        <v>5119.59</v>
      </c>
      <c r="J21" s="131">
        <f>Tbl_Sin_Restricciones[[#This Row],[Beneficio unitario (€)]] * Tbl_Sin_Restricciones[[#This Row],[Unidades a exportar]]</f>
        <v>5119.59</v>
      </c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</row>
    <row r="22" spans="1:134" ht="17" x14ac:dyDescent="0.25">
      <c r="A22" s="86" t="s">
        <v>7</v>
      </c>
      <c r="B22" s="86" t="s">
        <v>16</v>
      </c>
      <c r="C22" s="87">
        <f xml:space="preserve"> AVERAGEIFS('1_Datos'!E:E, '1_Datos'!B:B, A22, '1_Datos'!C:C, B22)</f>
        <v>106.71</v>
      </c>
      <c r="D22" s="87">
        <f t="shared" si="0"/>
        <v>69.361499999999992</v>
      </c>
      <c r="E22" s="9">
        <v>105</v>
      </c>
      <c r="F22" s="9">
        <v>130</v>
      </c>
      <c r="G22" s="88">
        <f>Tbl_Sin_Restricciones[[#This Row],[Precio unitario (€)]]-Tbl_Sin_Restricciones[[#This Row],[Coste unitario (€)]]</f>
        <v>37.348500000000001</v>
      </c>
      <c r="H22" s="93">
        <v>105</v>
      </c>
      <c r="I22" s="88">
        <f>Tbl_Sin_Restricciones[[#This Row],[Beneficio unitario (€)]]*Tbl_Sin_Restricciones[[#This Row],[Unidades pedidas]]</f>
        <v>3921.5925000000002</v>
      </c>
      <c r="J22" s="131">
        <f>Tbl_Sin_Restricciones[[#This Row],[Beneficio unitario (€)]] * Tbl_Sin_Restricciones[[#This Row],[Unidades a exportar]]</f>
        <v>3921.5925000000002</v>
      </c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</row>
    <row r="23" spans="1:134" ht="17" x14ac:dyDescent="0.25">
      <c r="A23" s="8" t="s">
        <v>7</v>
      </c>
      <c r="B23" s="8" t="s">
        <v>8</v>
      </c>
      <c r="C23" s="87">
        <f xml:space="preserve"> AVERAGEIFS('1_Datos'!E:E, '1_Datos'!B:B, A23, '1_Datos'!C:C, B23)</f>
        <v>243.27</v>
      </c>
      <c r="D23" s="87">
        <f t="shared" si="0"/>
        <v>158.12550000000002</v>
      </c>
      <c r="E23" s="9">
        <v>185</v>
      </c>
      <c r="F23" s="9">
        <v>190</v>
      </c>
      <c r="G23" s="88">
        <f>Tbl_Sin_Restricciones[[#This Row],[Precio unitario (€)]]-Tbl_Sin_Restricciones[[#This Row],[Coste unitario (€)]]</f>
        <v>85.144499999999994</v>
      </c>
      <c r="H23" s="93">
        <v>185</v>
      </c>
      <c r="I23" s="88">
        <f>Tbl_Sin_Restricciones[[#This Row],[Beneficio unitario (€)]]*Tbl_Sin_Restricciones[[#This Row],[Unidades pedidas]]</f>
        <v>15751.732499999998</v>
      </c>
      <c r="J23" s="131">
        <f>Tbl_Sin_Restricciones[[#This Row],[Beneficio unitario (€)]] * Tbl_Sin_Restricciones[[#This Row],[Unidades a exportar]]</f>
        <v>15751.732499999998</v>
      </c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</row>
    <row r="24" spans="1:134" ht="17" x14ac:dyDescent="0.25">
      <c r="A24" s="86" t="s">
        <v>7</v>
      </c>
      <c r="B24" s="86" t="s">
        <v>14</v>
      </c>
      <c r="C24" s="87">
        <f xml:space="preserve"> AVERAGEIFS('1_Datos'!E:E, '1_Datos'!B:B, A24, '1_Datos'!C:C, B24)</f>
        <v>146.47333333333333</v>
      </c>
      <c r="D24" s="87">
        <f t="shared" si="0"/>
        <v>95.207666666666668</v>
      </c>
      <c r="E24" s="9">
        <v>130</v>
      </c>
      <c r="F24" s="9">
        <v>165</v>
      </c>
      <c r="G24" s="88">
        <f>Tbl_Sin_Restricciones[[#This Row],[Precio unitario (€)]]-Tbl_Sin_Restricciones[[#This Row],[Coste unitario (€)]]</f>
        <v>51.265666666666661</v>
      </c>
      <c r="H24" s="93">
        <v>130</v>
      </c>
      <c r="I24" s="88">
        <f>Tbl_Sin_Restricciones[[#This Row],[Beneficio unitario (€)]]*Tbl_Sin_Restricciones[[#This Row],[Unidades pedidas]]</f>
        <v>6664.536666666666</v>
      </c>
      <c r="J24" s="131">
        <f>Tbl_Sin_Restricciones[[#This Row],[Beneficio unitario (€)]] * Tbl_Sin_Restricciones[[#This Row],[Unidades a exportar]]</f>
        <v>6664.536666666666</v>
      </c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</row>
    <row r="25" spans="1:134" ht="17" x14ac:dyDescent="0.25">
      <c r="A25" s="8" t="s">
        <v>7</v>
      </c>
      <c r="B25" s="8" t="s">
        <v>19</v>
      </c>
      <c r="C25" s="87">
        <f xml:space="preserve"> AVERAGEIFS('1_Datos'!E:E, '1_Datos'!B:B, A25, '1_Datos'!C:C, B25)</f>
        <v>155.09333333333333</v>
      </c>
      <c r="D25" s="87">
        <f t="shared" si="0"/>
        <v>100.81066666666668</v>
      </c>
      <c r="E25" s="9">
        <v>140</v>
      </c>
      <c r="F25" s="9">
        <v>150</v>
      </c>
      <c r="G25" s="88">
        <f>Tbl_Sin_Restricciones[[#This Row],[Precio unitario (€)]]-Tbl_Sin_Restricciones[[#This Row],[Coste unitario (€)]]</f>
        <v>54.282666666666657</v>
      </c>
      <c r="H25" s="93">
        <v>140</v>
      </c>
      <c r="I25" s="88">
        <f>Tbl_Sin_Restricciones[[#This Row],[Beneficio unitario (€)]]*Tbl_Sin_Restricciones[[#This Row],[Unidades pedidas]]</f>
        <v>7599.5733333333319</v>
      </c>
      <c r="J25" s="131">
        <f>Tbl_Sin_Restricciones[[#This Row],[Beneficio unitario (€)]] * Tbl_Sin_Restricciones[[#This Row],[Unidades a exportar]]</f>
        <v>7599.5733333333319</v>
      </c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</row>
    <row r="26" spans="1:134" ht="17" x14ac:dyDescent="0.25">
      <c r="A26" s="86" t="s">
        <v>7</v>
      </c>
      <c r="B26" s="86" t="s">
        <v>21</v>
      </c>
      <c r="C26" s="87">
        <f xml:space="preserve"> AVERAGEIFS('1_Datos'!E:E, '1_Datos'!B:B, A26, '1_Datos'!C:C, B26)</f>
        <v>211.27999999999997</v>
      </c>
      <c r="D26" s="87">
        <f t="shared" si="0"/>
        <v>137.33199999999999</v>
      </c>
      <c r="E26" s="9">
        <v>155</v>
      </c>
      <c r="F26" s="9">
        <v>180</v>
      </c>
      <c r="G26" s="88">
        <f>Tbl_Sin_Restricciones[[#This Row],[Precio unitario (€)]]-Tbl_Sin_Restricciones[[#This Row],[Coste unitario (€)]]</f>
        <v>73.947999999999979</v>
      </c>
      <c r="H26" s="93">
        <v>155</v>
      </c>
      <c r="I26" s="88">
        <f>Tbl_Sin_Restricciones[[#This Row],[Beneficio unitario (€)]]*Tbl_Sin_Restricciones[[#This Row],[Unidades pedidas]]</f>
        <v>11461.939999999997</v>
      </c>
      <c r="J26" s="131">
        <f>Tbl_Sin_Restricciones[[#This Row],[Beneficio unitario (€)]] * Tbl_Sin_Restricciones[[#This Row],[Unidades a exportar]]</f>
        <v>11461.939999999997</v>
      </c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</row>
    <row r="27" spans="1:134" ht="17" x14ac:dyDescent="0.25">
      <c r="A27" s="8" t="s">
        <v>7</v>
      </c>
      <c r="B27" s="8" t="s">
        <v>11</v>
      </c>
      <c r="C27" s="87">
        <f xml:space="preserve"> AVERAGEIFS('1_Datos'!E:E, '1_Datos'!B:B, A27, '1_Datos'!C:C, B27)</f>
        <v>194.19666666666663</v>
      </c>
      <c r="D27" s="87">
        <f t="shared" si="0"/>
        <v>126.22783333333331</v>
      </c>
      <c r="E27" s="9">
        <v>190</v>
      </c>
      <c r="F27" s="9">
        <v>210</v>
      </c>
      <c r="G27" s="88">
        <f>Tbl_Sin_Restricciones[[#This Row],[Precio unitario (€)]]-Tbl_Sin_Restricciones[[#This Row],[Coste unitario (€)]]</f>
        <v>67.968833333333322</v>
      </c>
      <c r="H27" s="93">
        <v>190</v>
      </c>
      <c r="I27" s="88">
        <f>Tbl_Sin_Restricciones[[#This Row],[Beneficio unitario (€)]]*Tbl_Sin_Restricciones[[#This Row],[Unidades pedidas]]</f>
        <v>12914.078333333331</v>
      </c>
      <c r="J27" s="131">
        <f>Tbl_Sin_Restricciones[[#This Row],[Beneficio unitario (€)]] * Tbl_Sin_Restricciones[[#This Row],[Unidades a exportar]]</f>
        <v>12914.078333333331</v>
      </c>
      <c r="K27" s="1"/>
      <c r="L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</row>
    <row r="28" spans="1:134" ht="17" x14ac:dyDescent="0.25">
      <c r="A28" s="86" t="s">
        <v>17</v>
      </c>
      <c r="B28" s="86" t="s">
        <v>10</v>
      </c>
      <c r="C28" s="87">
        <f xml:space="preserve"> AVERAGEIFS('1_Datos'!E:E, '1_Datos'!B:B, A28, '1_Datos'!C:C, B28)</f>
        <v>160.34</v>
      </c>
      <c r="D28" s="87">
        <f t="shared" si="0"/>
        <v>104.221</v>
      </c>
      <c r="E28" s="9">
        <v>175</v>
      </c>
      <c r="F28" s="9">
        <v>200</v>
      </c>
      <c r="G28" s="88">
        <f>Tbl_Sin_Restricciones[[#This Row],[Precio unitario (€)]]-Tbl_Sin_Restricciones[[#This Row],[Coste unitario (€)]]</f>
        <v>56.119</v>
      </c>
      <c r="H28" s="93">
        <v>175</v>
      </c>
      <c r="I28" s="88">
        <f>Tbl_Sin_Restricciones[[#This Row],[Beneficio unitario (€)]]*Tbl_Sin_Restricciones[[#This Row],[Unidades pedidas]]</f>
        <v>9820.8250000000007</v>
      </c>
      <c r="J28" s="131">
        <f>Tbl_Sin_Restricciones[[#This Row],[Beneficio unitario (€)]] * Tbl_Sin_Restricciones[[#This Row],[Unidades a exportar]]</f>
        <v>9820.8250000000007</v>
      </c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</row>
    <row r="29" spans="1:134" ht="17" x14ac:dyDescent="0.25">
      <c r="A29" s="8" t="s">
        <v>17</v>
      </c>
      <c r="B29" s="8" t="s">
        <v>18</v>
      </c>
      <c r="C29" s="87">
        <f xml:space="preserve"> AVERAGEIFS('1_Datos'!E:E, '1_Datos'!B:B, A29, '1_Datos'!C:C, B29)</f>
        <v>150.47333333333333</v>
      </c>
      <c r="D29" s="87">
        <f t="shared" si="0"/>
        <v>97.807666666666663</v>
      </c>
      <c r="E29" s="9">
        <v>120</v>
      </c>
      <c r="F29" s="9">
        <v>150</v>
      </c>
      <c r="G29" s="88">
        <f>Tbl_Sin_Restricciones[[#This Row],[Precio unitario (€)]]-Tbl_Sin_Restricciones[[#This Row],[Coste unitario (€)]]</f>
        <v>52.665666666666667</v>
      </c>
      <c r="H29" s="93">
        <v>120</v>
      </c>
      <c r="I29" s="88">
        <f>Tbl_Sin_Restricciones[[#This Row],[Beneficio unitario (€)]]*Tbl_Sin_Restricciones[[#This Row],[Unidades pedidas]]</f>
        <v>6319.88</v>
      </c>
      <c r="J29" s="131">
        <f>Tbl_Sin_Restricciones[[#This Row],[Beneficio unitario (€)]] * Tbl_Sin_Restricciones[[#This Row],[Unidades a exportar]]</f>
        <v>6319.88</v>
      </c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 spans="1:134" ht="17" x14ac:dyDescent="0.25">
      <c r="A30" s="86" t="s">
        <v>17</v>
      </c>
      <c r="B30" s="86" t="s">
        <v>20</v>
      </c>
      <c r="C30" s="87">
        <f xml:space="preserve"> AVERAGEIFS('1_Datos'!E:E, '1_Datos'!B:B, A30, '1_Datos'!C:C, B30)</f>
        <v>221.55500000000001</v>
      </c>
      <c r="D30" s="87">
        <f t="shared" si="0"/>
        <v>144.01075</v>
      </c>
      <c r="E30" s="9">
        <v>100</v>
      </c>
      <c r="F30" s="9">
        <v>120</v>
      </c>
      <c r="G30" s="88">
        <f>Tbl_Sin_Restricciones[[#This Row],[Precio unitario (€)]]-Tbl_Sin_Restricciones[[#This Row],[Coste unitario (€)]]</f>
        <v>77.544250000000005</v>
      </c>
      <c r="H30" s="93">
        <v>100</v>
      </c>
      <c r="I30" s="88">
        <f>Tbl_Sin_Restricciones[[#This Row],[Beneficio unitario (€)]]*Tbl_Sin_Restricciones[[#This Row],[Unidades pedidas]]</f>
        <v>7754.4250000000002</v>
      </c>
      <c r="J30" s="131">
        <f>Tbl_Sin_Restricciones[[#This Row],[Beneficio unitario (€)]] * Tbl_Sin_Restricciones[[#This Row],[Unidades a exportar]]</f>
        <v>7754.4250000000002</v>
      </c>
      <c r="K30" s="1"/>
      <c r="L30" s="1"/>
      <c r="M30" s="1"/>
      <c r="O30" s="1"/>
      <c r="P30" s="1"/>
      <c r="Q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</row>
    <row r="31" spans="1:134" ht="17" x14ac:dyDescent="0.25">
      <c r="A31" s="8" t="s">
        <v>17</v>
      </c>
      <c r="B31" s="8" t="s">
        <v>13</v>
      </c>
      <c r="C31" s="87">
        <f xml:space="preserve"> AVERAGEIFS('1_Datos'!E:E, '1_Datos'!B:B, A31, '1_Datos'!C:C, B31)</f>
        <v>90.79</v>
      </c>
      <c r="D31" s="87">
        <f t="shared" si="0"/>
        <v>59.013500000000008</v>
      </c>
      <c r="E31" s="9">
        <v>180</v>
      </c>
      <c r="F31" s="9">
        <v>185</v>
      </c>
      <c r="G31" s="88">
        <f>Tbl_Sin_Restricciones[[#This Row],[Precio unitario (€)]]-Tbl_Sin_Restricciones[[#This Row],[Coste unitario (€)]]</f>
        <v>31.776499999999999</v>
      </c>
      <c r="H31" s="93">
        <v>180</v>
      </c>
      <c r="I31" s="88">
        <f>Tbl_Sin_Restricciones[[#This Row],[Beneficio unitario (€)]]*Tbl_Sin_Restricciones[[#This Row],[Unidades pedidas]]</f>
        <v>5719.7699999999995</v>
      </c>
      <c r="J31" s="131">
        <f>Tbl_Sin_Restricciones[[#This Row],[Beneficio unitario (€)]] * Tbl_Sin_Restricciones[[#This Row],[Unidades a exportar]]</f>
        <v>5719.7699999999995</v>
      </c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</row>
    <row r="32" spans="1:134" ht="17" x14ac:dyDescent="0.25">
      <c r="A32" s="86" t="s">
        <v>17</v>
      </c>
      <c r="B32" s="86" t="s">
        <v>16</v>
      </c>
      <c r="C32" s="87">
        <f xml:space="preserve"> AVERAGEIFS('1_Datos'!E:E, '1_Datos'!B:B, A32, '1_Datos'!C:C, B32)</f>
        <v>70.174999999999997</v>
      </c>
      <c r="D32" s="87">
        <f t="shared" si="0"/>
        <v>45.613750000000003</v>
      </c>
      <c r="E32" s="9">
        <v>95</v>
      </c>
      <c r="F32" s="9">
        <v>140</v>
      </c>
      <c r="G32" s="88">
        <f>Tbl_Sin_Restricciones[[#This Row],[Precio unitario (€)]]-Tbl_Sin_Restricciones[[#This Row],[Coste unitario (€)]]</f>
        <v>24.561249999999994</v>
      </c>
      <c r="H32" s="93">
        <v>95</v>
      </c>
      <c r="I32" s="88">
        <f>Tbl_Sin_Restricciones[[#This Row],[Beneficio unitario (€)]]*Tbl_Sin_Restricciones[[#This Row],[Unidades pedidas]]</f>
        <v>2333.3187499999995</v>
      </c>
      <c r="J32" s="131">
        <f>Tbl_Sin_Restricciones[[#This Row],[Beneficio unitario (€)]] * Tbl_Sin_Restricciones[[#This Row],[Unidades a exportar]]</f>
        <v>2333.3187499999995</v>
      </c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 spans="1:134" ht="17" x14ac:dyDescent="0.25">
      <c r="A33" s="8" t="s">
        <v>17</v>
      </c>
      <c r="B33" s="8" t="s">
        <v>8</v>
      </c>
      <c r="C33" s="87">
        <f xml:space="preserve"> AVERAGEIFS('1_Datos'!E:E, '1_Datos'!B:B, A33, '1_Datos'!C:C, B33)</f>
        <v>134.22500000000002</v>
      </c>
      <c r="D33" s="87">
        <f t="shared" si="0"/>
        <v>87.246250000000018</v>
      </c>
      <c r="E33" s="9">
        <v>200</v>
      </c>
      <c r="F33" s="9">
        <v>210</v>
      </c>
      <c r="G33" s="88">
        <f>Tbl_Sin_Restricciones[[#This Row],[Precio unitario (€)]]-Tbl_Sin_Restricciones[[#This Row],[Coste unitario (€)]]</f>
        <v>46.978750000000005</v>
      </c>
      <c r="H33" s="93">
        <v>200</v>
      </c>
      <c r="I33" s="88">
        <f>Tbl_Sin_Restricciones[[#This Row],[Beneficio unitario (€)]]*Tbl_Sin_Restricciones[[#This Row],[Unidades pedidas]]</f>
        <v>9395.7500000000018</v>
      </c>
      <c r="J33" s="131">
        <f>Tbl_Sin_Restricciones[[#This Row],[Beneficio unitario (€)]] * Tbl_Sin_Restricciones[[#This Row],[Unidades a exportar]]</f>
        <v>9395.7500000000018</v>
      </c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</row>
    <row r="34" spans="1:134" ht="17" x14ac:dyDescent="0.25">
      <c r="A34" s="86" t="s">
        <v>17</v>
      </c>
      <c r="B34" s="86" t="s">
        <v>14</v>
      </c>
      <c r="C34" s="87">
        <f xml:space="preserve"> AVERAGEIFS('1_Datos'!E:E, '1_Datos'!B:B, A34, '1_Datos'!C:C, B34)</f>
        <v>78.42</v>
      </c>
      <c r="D34" s="87">
        <f t="shared" si="0"/>
        <v>50.973000000000006</v>
      </c>
      <c r="E34" s="9">
        <v>135</v>
      </c>
      <c r="F34" s="9">
        <v>160</v>
      </c>
      <c r="G34" s="88">
        <f>Tbl_Sin_Restricciones[[#This Row],[Precio unitario (€)]]-Tbl_Sin_Restricciones[[#This Row],[Coste unitario (€)]]</f>
        <v>27.446999999999996</v>
      </c>
      <c r="H34" s="93">
        <v>135</v>
      </c>
      <c r="I34" s="88">
        <f>Tbl_Sin_Restricciones[[#This Row],[Beneficio unitario (€)]]*Tbl_Sin_Restricciones[[#This Row],[Unidades pedidas]]</f>
        <v>3705.3449999999993</v>
      </c>
      <c r="J34" s="131">
        <f>Tbl_Sin_Restricciones[[#This Row],[Beneficio unitario (€)]] * Tbl_Sin_Restricciones[[#This Row],[Unidades a exportar]]</f>
        <v>3705.3449999999993</v>
      </c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</row>
    <row r="35" spans="1:134" ht="17" x14ac:dyDescent="0.25">
      <c r="A35" s="8" t="s">
        <v>17</v>
      </c>
      <c r="B35" s="8" t="s">
        <v>19</v>
      </c>
      <c r="C35" s="87">
        <f xml:space="preserve"> AVERAGEIFS('1_Datos'!E:E, '1_Datos'!B:B, A35, '1_Datos'!C:C, B35)</f>
        <v>225.84</v>
      </c>
      <c r="D35" s="87">
        <f t="shared" si="0"/>
        <v>146.79600000000002</v>
      </c>
      <c r="E35" s="9">
        <v>110</v>
      </c>
      <c r="F35" s="9">
        <v>135</v>
      </c>
      <c r="G35" s="88">
        <f>Tbl_Sin_Restricciones[[#This Row],[Precio unitario (€)]]-Tbl_Sin_Restricciones[[#This Row],[Coste unitario (€)]]</f>
        <v>79.043999999999983</v>
      </c>
      <c r="H35" s="93">
        <v>110</v>
      </c>
      <c r="I35" s="88">
        <f>Tbl_Sin_Restricciones[[#This Row],[Beneficio unitario (€)]]*Tbl_Sin_Restricciones[[#This Row],[Unidades pedidas]]</f>
        <v>8694.8399999999983</v>
      </c>
      <c r="J35" s="131">
        <f>Tbl_Sin_Restricciones[[#This Row],[Beneficio unitario (€)]] * Tbl_Sin_Restricciones[[#This Row],[Unidades a exportar]]</f>
        <v>8694.8399999999983</v>
      </c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</row>
    <row r="36" spans="1:134" ht="17" x14ac:dyDescent="0.25">
      <c r="A36" s="86" t="s">
        <v>17</v>
      </c>
      <c r="B36" s="86" t="s">
        <v>21</v>
      </c>
      <c r="C36" s="87">
        <f xml:space="preserve"> AVERAGEIFS('1_Datos'!E:E, '1_Datos'!B:B, A36, '1_Datos'!C:C, B36)</f>
        <v>118.90249999999999</v>
      </c>
      <c r="D36" s="87">
        <f t="shared" si="0"/>
        <v>77.286625000000001</v>
      </c>
      <c r="E36" s="9">
        <v>105</v>
      </c>
      <c r="F36" s="9">
        <v>125</v>
      </c>
      <c r="G36" s="88">
        <f>Tbl_Sin_Restricciones[[#This Row],[Precio unitario (€)]]-Tbl_Sin_Restricciones[[#This Row],[Coste unitario (€)]]</f>
        <v>41.615874999999988</v>
      </c>
      <c r="H36" s="93">
        <v>105</v>
      </c>
      <c r="I36" s="88">
        <f>Tbl_Sin_Restricciones[[#This Row],[Beneficio unitario (€)]]*Tbl_Sin_Restricciones[[#This Row],[Unidades pedidas]]</f>
        <v>4369.666874999999</v>
      </c>
      <c r="J36" s="131">
        <f>Tbl_Sin_Restricciones[[#This Row],[Beneficio unitario (€)]] * Tbl_Sin_Restricciones[[#This Row],[Unidades a exportar]]</f>
        <v>4369.666874999999</v>
      </c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</row>
    <row r="37" spans="1:134" ht="17" x14ac:dyDescent="0.25">
      <c r="A37" s="8" t="s">
        <v>24</v>
      </c>
      <c r="B37" s="8" t="s">
        <v>10</v>
      </c>
      <c r="C37" s="87">
        <f xml:space="preserve"> AVERAGEIFS('1_Datos'!E:E, '1_Datos'!B:B, A37, '1_Datos'!C:C, B37)</f>
        <v>125.08</v>
      </c>
      <c r="D37" s="87">
        <f t="shared" si="0"/>
        <v>81.302000000000007</v>
      </c>
      <c r="E37" s="9">
        <v>165</v>
      </c>
      <c r="F37" s="9">
        <v>190</v>
      </c>
      <c r="G37" s="88">
        <f>Tbl_Sin_Restricciones[[#This Row],[Precio unitario (€)]]-Tbl_Sin_Restricciones[[#This Row],[Coste unitario (€)]]</f>
        <v>43.777999999999992</v>
      </c>
      <c r="H37" s="93">
        <v>165</v>
      </c>
      <c r="I37" s="88">
        <f>Tbl_Sin_Restricciones[[#This Row],[Beneficio unitario (€)]]*Tbl_Sin_Restricciones[[#This Row],[Unidades pedidas]]</f>
        <v>7223.369999999999</v>
      </c>
      <c r="J37" s="131">
        <f>Tbl_Sin_Restricciones[[#This Row],[Beneficio unitario (€)]] * Tbl_Sin_Restricciones[[#This Row],[Unidades a exportar]]</f>
        <v>7223.369999999999</v>
      </c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</row>
    <row r="38" spans="1:134" ht="17" x14ac:dyDescent="0.25">
      <c r="A38" s="86" t="s">
        <v>24</v>
      </c>
      <c r="B38" s="86" t="s">
        <v>18</v>
      </c>
      <c r="C38" s="87">
        <f xml:space="preserve"> AVERAGEIFS('1_Datos'!E:E, '1_Datos'!B:B, A38, '1_Datos'!C:C, B38)</f>
        <v>130.29</v>
      </c>
      <c r="D38" s="87">
        <f t="shared" si="0"/>
        <v>84.688500000000005</v>
      </c>
      <c r="E38" s="9">
        <v>155</v>
      </c>
      <c r="F38" s="9">
        <v>180</v>
      </c>
      <c r="G38" s="88">
        <f>Tbl_Sin_Restricciones[[#This Row],[Precio unitario (€)]]-Tbl_Sin_Restricciones[[#This Row],[Coste unitario (€)]]</f>
        <v>45.601499999999987</v>
      </c>
      <c r="H38" s="93">
        <v>155</v>
      </c>
      <c r="I38" s="88">
        <f>Tbl_Sin_Restricciones[[#This Row],[Beneficio unitario (€)]]*Tbl_Sin_Restricciones[[#This Row],[Unidades pedidas]]</f>
        <v>7068.2324999999983</v>
      </c>
      <c r="J38" s="131">
        <f>Tbl_Sin_Restricciones[[#This Row],[Beneficio unitario (€)]] * Tbl_Sin_Restricciones[[#This Row],[Unidades a exportar]]</f>
        <v>7068.2324999999983</v>
      </c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</row>
    <row r="39" spans="1:134" ht="17" x14ac:dyDescent="0.25">
      <c r="A39" s="8" t="s">
        <v>24</v>
      </c>
      <c r="B39" s="8" t="s">
        <v>20</v>
      </c>
      <c r="C39" s="87">
        <f xml:space="preserve"> AVERAGEIFS('1_Datos'!E:E, '1_Datos'!B:B, A39, '1_Datos'!C:C, B39)</f>
        <v>213.27</v>
      </c>
      <c r="D39" s="87">
        <f t="shared" si="0"/>
        <v>138.62550000000002</v>
      </c>
      <c r="E39" s="9">
        <v>170</v>
      </c>
      <c r="F39" s="9">
        <v>185</v>
      </c>
      <c r="G39" s="88">
        <f>Tbl_Sin_Restricciones[[#This Row],[Precio unitario (€)]]-Tbl_Sin_Restricciones[[#This Row],[Coste unitario (€)]]</f>
        <v>74.644499999999994</v>
      </c>
      <c r="H39" s="93">
        <v>170</v>
      </c>
      <c r="I39" s="88">
        <f>Tbl_Sin_Restricciones[[#This Row],[Beneficio unitario (€)]]*Tbl_Sin_Restricciones[[#This Row],[Unidades pedidas]]</f>
        <v>12689.564999999999</v>
      </c>
      <c r="J39" s="131">
        <f>Tbl_Sin_Restricciones[[#This Row],[Beneficio unitario (€)]] * Tbl_Sin_Restricciones[[#This Row],[Unidades a exportar]]</f>
        <v>12689.564999999999</v>
      </c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</row>
    <row r="40" spans="1:134" ht="17" x14ac:dyDescent="0.25">
      <c r="A40" s="86" t="s">
        <v>24</v>
      </c>
      <c r="B40" s="86" t="s">
        <v>16</v>
      </c>
      <c r="C40" s="87">
        <f xml:space="preserve"> AVERAGEIFS('1_Datos'!E:E, '1_Datos'!B:B, A40, '1_Datos'!C:C, B40)</f>
        <v>110.88249999999999</v>
      </c>
      <c r="D40" s="87">
        <f t="shared" si="0"/>
        <v>72.073624999999993</v>
      </c>
      <c r="E40" s="9">
        <v>130</v>
      </c>
      <c r="F40" s="9">
        <v>160</v>
      </c>
      <c r="G40" s="88">
        <f>Tbl_Sin_Restricciones[[#This Row],[Precio unitario (€)]]-Tbl_Sin_Restricciones[[#This Row],[Coste unitario (€)]]</f>
        <v>38.808875</v>
      </c>
      <c r="H40" s="93">
        <v>130</v>
      </c>
      <c r="I40" s="88">
        <f>Tbl_Sin_Restricciones[[#This Row],[Beneficio unitario (€)]]*Tbl_Sin_Restricciones[[#This Row],[Unidades pedidas]]</f>
        <v>5045.1537500000004</v>
      </c>
      <c r="J40" s="131">
        <f>Tbl_Sin_Restricciones[[#This Row],[Beneficio unitario (€)]] * Tbl_Sin_Restricciones[[#This Row],[Unidades a exportar]]</f>
        <v>5045.1537500000004</v>
      </c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</row>
    <row r="41" spans="1:134" ht="17" x14ac:dyDescent="0.25">
      <c r="A41" s="8" t="s">
        <v>24</v>
      </c>
      <c r="B41" s="8" t="s">
        <v>8</v>
      </c>
      <c r="C41" s="87">
        <f xml:space="preserve"> AVERAGEIFS('1_Datos'!E:E, '1_Datos'!B:B, A41, '1_Datos'!C:C, B41)</f>
        <v>108.066</v>
      </c>
      <c r="D41" s="87">
        <f t="shared" si="0"/>
        <v>70.242900000000006</v>
      </c>
      <c r="E41" s="9">
        <v>90</v>
      </c>
      <c r="F41" s="9">
        <v>115</v>
      </c>
      <c r="G41" s="88">
        <f>Tbl_Sin_Restricciones[[#This Row],[Precio unitario (€)]]-Tbl_Sin_Restricciones[[#This Row],[Coste unitario (€)]]</f>
        <v>37.823099999999997</v>
      </c>
      <c r="H41" s="93">
        <v>90</v>
      </c>
      <c r="I41" s="88">
        <f>Tbl_Sin_Restricciones[[#This Row],[Beneficio unitario (€)]]*Tbl_Sin_Restricciones[[#This Row],[Unidades pedidas]]</f>
        <v>3404.0789999999997</v>
      </c>
      <c r="J41" s="131">
        <f>Tbl_Sin_Restricciones[[#This Row],[Beneficio unitario (€)]] * Tbl_Sin_Restricciones[[#This Row],[Unidades a exportar]]</f>
        <v>3404.0789999999997</v>
      </c>
      <c r="K41" s="1"/>
      <c r="L41" s="1"/>
      <c r="M41" s="106" t="s">
        <v>201</v>
      </c>
      <c r="N41" s="79"/>
      <c r="O41" s="79"/>
      <c r="P41" s="79"/>
      <c r="Q41" s="79"/>
      <c r="R41" s="107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</row>
    <row r="42" spans="1:134" ht="17" x14ac:dyDescent="0.25">
      <c r="A42" s="86" t="s">
        <v>24</v>
      </c>
      <c r="B42" s="86" t="s">
        <v>19</v>
      </c>
      <c r="C42" s="87">
        <f xml:space="preserve"> AVERAGEIFS('1_Datos'!E:E, '1_Datos'!B:B, A42, '1_Datos'!C:C, B42)</f>
        <v>116.01</v>
      </c>
      <c r="D42" s="87">
        <f t="shared" si="0"/>
        <v>75.406500000000008</v>
      </c>
      <c r="E42" s="9">
        <v>95</v>
      </c>
      <c r="F42" s="9">
        <v>120</v>
      </c>
      <c r="G42" s="88">
        <f>Tbl_Sin_Restricciones[[#This Row],[Precio unitario (€)]]-Tbl_Sin_Restricciones[[#This Row],[Coste unitario (€)]]</f>
        <v>40.603499999999997</v>
      </c>
      <c r="H42" s="93">
        <v>95</v>
      </c>
      <c r="I42" s="88">
        <f>Tbl_Sin_Restricciones[[#This Row],[Beneficio unitario (€)]]*Tbl_Sin_Restricciones[[#This Row],[Unidades pedidas]]</f>
        <v>3857.3324999999995</v>
      </c>
      <c r="J42" s="131">
        <f>Tbl_Sin_Restricciones[[#This Row],[Beneficio unitario (€)]] * Tbl_Sin_Restricciones[[#This Row],[Unidades a exportar]]</f>
        <v>3857.3324999999995</v>
      </c>
      <c r="K42" s="1"/>
      <c r="L42" s="1"/>
      <c r="M42" s="108"/>
      <c r="N42" s="109"/>
      <c r="O42" s="109"/>
      <c r="P42" s="109"/>
      <c r="Q42" s="109"/>
      <c r="R42" s="110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</row>
    <row r="43" spans="1:134" ht="17" x14ac:dyDescent="0.25">
      <c r="A43" s="8" t="s">
        <v>15</v>
      </c>
      <c r="B43" s="8" t="s">
        <v>10</v>
      </c>
      <c r="C43" s="87">
        <f xml:space="preserve"> AVERAGEIFS('1_Datos'!E:E, '1_Datos'!B:B, A43, '1_Datos'!C:C, B43)</f>
        <v>146.3125</v>
      </c>
      <c r="D43" s="87">
        <f t="shared" si="0"/>
        <v>95.103125000000006</v>
      </c>
      <c r="E43" s="9">
        <v>80</v>
      </c>
      <c r="F43" s="9">
        <v>100</v>
      </c>
      <c r="G43" s="88">
        <f>Tbl_Sin_Restricciones[[#This Row],[Precio unitario (€)]]-Tbl_Sin_Restricciones[[#This Row],[Coste unitario (€)]]</f>
        <v>51.209374999999994</v>
      </c>
      <c r="H43" s="93">
        <v>80</v>
      </c>
      <c r="I43" s="88">
        <f>Tbl_Sin_Restricciones[[#This Row],[Beneficio unitario (€)]]*Tbl_Sin_Restricciones[[#This Row],[Unidades pedidas]]</f>
        <v>4096.75</v>
      </c>
      <c r="J43" s="131">
        <f>Tbl_Sin_Restricciones[[#This Row],[Beneficio unitario (€)]] * Tbl_Sin_Restricciones[[#This Row],[Unidades a exportar]]</f>
        <v>4096.75</v>
      </c>
      <c r="K43" s="1"/>
      <c r="L43" s="1"/>
      <c r="M43" s="80" t="s">
        <v>193</v>
      </c>
      <c r="N43" s="102"/>
      <c r="O43" s="103"/>
      <c r="P43" s="103"/>
      <c r="Q43" s="103"/>
      <c r="R43" s="8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</row>
    <row r="44" spans="1:134" ht="17" x14ac:dyDescent="0.25">
      <c r="A44" s="86" t="s">
        <v>15</v>
      </c>
      <c r="B44" s="86" t="s">
        <v>18</v>
      </c>
      <c r="C44" s="87">
        <f xml:space="preserve"> AVERAGEIFS('1_Datos'!E:E, '1_Datos'!B:B, A44, '1_Datos'!C:C, B44)</f>
        <v>152.61000000000001</v>
      </c>
      <c r="D44" s="87">
        <f t="shared" si="0"/>
        <v>99.196500000000015</v>
      </c>
      <c r="E44" s="9">
        <v>160</v>
      </c>
      <c r="F44" s="9">
        <v>170</v>
      </c>
      <c r="G44" s="88">
        <f>Tbl_Sin_Restricciones[[#This Row],[Precio unitario (€)]]-Tbl_Sin_Restricciones[[#This Row],[Coste unitario (€)]]</f>
        <v>53.413499999999999</v>
      </c>
      <c r="H44" s="93">
        <v>160</v>
      </c>
      <c r="I44" s="88">
        <f>Tbl_Sin_Restricciones[[#This Row],[Beneficio unitario (€)]]*Tbl_Sin_Restricciones[[#This Row],[Unidades pedidas]]</f>
        <v>8546.16</v>
      </c>
      <c r="J44" s="131">
        <f>Tbl_Sin_Restricciones[[#This Row],[Beneficio unitario (€)]] * Tbl_Sin_Restricciones[[#This Row],[Unidades a exportar]]</f>
        <v>8546.16</v>
      </c>
      <c r="K44" s="1"/>
      <c r="L44" s="1"/>
      <c r="M44" s="80" t="s">
        <v>194</v>
      </c>
      <c r="N44" s="102"/>
      <c r="O44" s="103"/>
      <c r="P44" s="103"/>
      <c r="Q44" s="103"/>
      <c r="R44" s="8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</row>
    <row r="45" spans="1:134" ht="17" x14ac:dyDescent="0.25">
      <c r="A45" s="8" t="s">
        <v>15</v>
      </c>
      <c r="B45" s="8" t="s">
        <v>20</v>
      </c>
      <c r="C45" s="87">
        <f xml:space="preserve"> AVERAGEIFS('1_Datos'!E:E, '1_Datos'!B:B, A45, '1_Datos'!C:C, B45)</f>
        <v>169.75</v>
      </c>
      <c r="D45" s="87">
        <f t="shared" si="0"/>
        <v>110.33750000000001</v>
      </c>
      <c r="E45" s="9">
        <v>175</v>
      </c>
      <c r="F45" s="9">
        <v>190</v>
      </c>
      <c r="G45" s="88">
        <f>Tbl_Sin_Restricciones[[#This Row],[Precio unitario (€)]]-Tbl_Sin_Restricciones[[#This Row],[Coste unitario (€)]]</f>
        <v>59.412499999999994</v>
      </c>
      <c r="H45" s="93">
        <v>175</v>
      </c>
      <c r="I45" s="88">
        <f>Tbl_Sin_Restricciones[[#This Row],[Beneficio unitario (€)]]*Tbl_Sin_Restricciones[[#This Row],[Unidades pedidas]]</f>
        <v>10397.187499999998</v>
      </c>
      <c r="J45" s="131">
        <f>Tbl_Sin_Restricciones[[#This Row],[Beneficio unitario (€)]] * Tbl_Sin_Restricciones[[#This Row],[Unidades a exportar]]</f>
        <v>10397.187499999998</v>
      </c>
      <c r="K45" s="1"/>
      <c r="L45" s="1"/>
      <c r="M45" s="80"/>
      <c r="N45" s="104"/>
      <c r="O45" s="103"/>
      <c r="P45" s="103"/>
      <c r="Q45" s="103"/>
      <c r="R45" s="8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</row>
    <row r="46" spans="1:134" ht="17" x14ac:dyDescent="0.25">
      <c r="A46" s="86" t="s">
        <v>15</v>
      </c>
      <c r="B46" s="86" t="s">
        <v>13</v>
      </c>
      <c r="C46" s="87">
        <f xml:space="preserve"> AVERAGEIFS('1_Datos'!E:E, '1_Datos'!B:B, A46, '1_Datos'!C:C, B46)</f>
        <v>125.17500000000001</v>
      </c>
      <c r="D46" s="87">
        <f t="shared" si="0"/>
        <v>81.36375000000001</v>
      </c>
      <c r="E46" s="9">
        <v>185</v>
      </c>
      <c r="F46" s="9">
        <v>200</v>
      </c>
      <c r="G46" s="88">
        <f>Tbl_Sin_Restricciones[[#This Row],[Precio unitario (€)]]-Tbl_Sin_Restricciones[[#This Row],[Coste unitario (€)]]</f>
        <v>43.811250000000001</v>
      </c>
      <c r="H46" s="93">
        <v>185</v>
      </c>
      <c r="I46" s="88">
        <f>Tbl_Sin_Restricciones[[#This Row],[Beneficio unitario (€)]]*Tbl_Sin_Restricciones[[#This Row],[Unidades pedidas]]</f>
        <v>8105.0812500000002</v>
      </c>
      <c r="J46" s="131">
        <f>Tbl_Sin_Restricciones[[#This Row],[Beneficio unitario (€)]] * Tbl_Sin_Restricciones[[#This Row],[Unidades a exportar]]</f>
        <v>8105.0812500000002</v>
      </c>
      <c r="K46" s="1"/>
      <c r="L46" s="1"/>
      <c r="M46" s="80" t="s">
        <v>195</v>
      </c>
      <c r="N46" s="102"/>
      <c r="O46" s="103"/>
      <c r="P46" s="103"/>
      <c r="Q46" s="103"/>
      <c r="R46" s="8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</row>
    <row r="47" spans="1:134" ht="17" x14ac:dyDescent="0.25">
      <c r="A47" s="8" t="s">
        <v>15</v>
      </c>
      <c r="B47" s="8" t="s">
        <v>16</v>
      </c>
      <c r="C47" s="87">
        <f xml:space="preserve"> AVERAGEIFS('1_Datos'!E:E, '1_Datos'!B:B, A47, '1_Datos'!C:C, B47)</f>
        <v>162.63</v>
      </c>
      <c r="D47" s="87">
        <f t="shared" si="0"/>
        <v>105.70950000000001</v>
      </c>
      <c r="E47" s="9">
        <v>95</v>
      </c>
      <c r="F47" s="9">
        <v>115</v>
      </c>
      <c r="G47" s="88">
        <f>Tbl_Sin_Restricciones[[#This Row],[Precio unitario (€)]]-Tbl_Sin_Restricciones[[#This Row],[Coste unitario (€)]]</f>
        <v>56.92049999999999</v>
      </c>
      <c r="H47" s="93">
        <v>95</v>
      </c>
      <c r="I47" s="88">
        <f>Tbl_Sin_Restricciones[[#This Row],[Beneficio unitario (€)]]*Tbl_Sin_Restricciones[[#This Row],[Unidades pedidas]]</f>
        <v>5407.4474999999993</v>
      </c>
      <c r="J47" s="131">
        <f>Tbl_Sin_Restricciones[[#This Row],[Beneficio unitario (€)]] * Tbl_Sin_Restricciones[[#This Row],[Unidades a exportar]]</f>
        <v>5407.4474999999993</v>
      </c>
      <c r="K47" s="1"/>
      <c r="L47" s="1"/>
      <c r="M47" s="80" t="s">
        <v>196</v>
      </c>
      <c r="N47" s="104"/>
      <c r="O47" s="103"/>
      <c r="P47" s="103"/>
      <c r="Q47" s="103"/>
      <c r="R47" s="8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</row>
    <row r="48" spans="1:134" ht="17" x14ac:dyDescent="0.25">
      <c r="A48" s="86" t="s">
        <v>15</v>
      </c>
      <c r="B48" s="86" t="s">
        <v>8</v>
      </c>
      <c r="C48" s="87">
        <f xml:space="preserve"> AVERAGEIFS('1_Datos'!E:E, '1_Datos'!B:B, A48, '1_Datos'!C:C, B48)</f>
        <v>151.01999999999998</v>
      </c>
      <c r="D48" s="87">
        <f t="shared" si="0"/>
        <v>98.162999999999997</v>
      </c>
      <c r="E48" s="9">
        <v>130</v>
      </c>
      <c r="F48" s="9">
        <v>145</v>
      </c>
      <c r="G48" s="88">
        <f>Tbl_Sin_Restricciones[[#This Row],[Precio unitario (€)]]-Tbl_Sin_Restricciones[[#This Row],[Coste unitario (€)]]</f>
        <v>52.856999999999985</v>
      </c>
      <c r="H48" s="93">
        <v>130</v>
      </c>
      <c r="I48" s="88">
        <f>Tbl_Sin_Restricciones[[#This Row],[Beneficio unitario (€)]]*Tbl_Sin_Restricciones[[#This Row],[Unidades pedidas]]</f>
        <v>6871.409999999998</v>
      </c>
      <c r="J48" s="131">
        <f>Tbl_Sin_Restricciones[[#This Row],[Beneficio unitario (€)]] * Tbl_Sin_Restricciones[[#This Row],[Unidades a exportar]]</f>
        <v>6871.409999999998</v>
      </c>
      <c r="K48" s="1"/>
      <c r="L48" s="1"/>
      <c r="M48" s="80" t="s">
        <v>197</v>
      </c>
      <c r="N48" s="102"/>
      <c r="O48" s="103"/>
      <c r="P48" s="103"/>
      <c r="Q48" s="103"/>
      <c r="R48" s="8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</row>
    <row r="49" spans="1:134" ht="17" x14ac:dyDescent="0.25">
      <c r="A49" s="8" t="s">
        <v>15</v>
      </c>
      <c r="B49" s="8" t="s">
        <v>14</v>
      </c>
      <c r="C49" s="87">
        <f xml:space="preserve"> AVERAGEIFS('1_Datos'!E:E, '1_Datos'!B:B, A49, '1_Datos'!C:C, B49)</f>
        <v>125.93</v>
      </c>
      <c r="D49" s="87">
        <f t="shared" si="0"/>
        <v>81.854500000000002</v>
      </c>
      <c r="E49" s="9">
        <v>150</v>
      </c>
      <c r="F49" s="9">
        <v>165</v>
      </c>
      <c r="G49" s="88">
        <f>Tbl_Sin_Restricciones[[#This Row],[Precio unitario (€)]]-Tbl_Sin_Restricciones[[#This Row],[Coste unitario (€)]]</f>
        <v>44.075500000000005</v>
      </c>
      <c r="H49" s="93">
        <v>150</v>
      </c>
      <c r="I49" s="88">
        <f>Tbl_Sin_Restricciones[[#This Row],[Beneficio unitario (€)]]*Tbl_Sin_Restricciones[[#This Row],[Unidades pedidas]]</f>
        <v>6611.3250000000007</v>
      </c>
      <c r="J49" s="131">
        <f>Tbl_Sin_Restricciones[[#This Row],[Beneficio unitario (€)]] * Tbl_Sin_Restricciones[[#This Row],[Unidades a exportar]]</f>
        <v>6611.3250000000007</v>
      </c>
      <c r="K49" s="1"/>
      <c r="L49" s="1"/>
      <c r="M49" s="80"/>
      <c r="N49" s="102"/>
      <c r="O49" s="103"/>
      <c r="P49" s="103"/>
      <c r="Q49" s="103"/>
      <c r="R49" s="8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</row>
    <row r="50" spans="1:134" ht="17" x14ac:dyDescent="0.25">
      <c r="A50" s="86" t="s">
        <v>15</v>
      </c>
      <c r="B50" s="86" t="s">
        <v>19</v>
      </c>
      <c r="C50" s="87">
        <f xml:space="preserve"> AVERAGEIFS('1_Datos'!E:E, '1_Datos'!B:B, A50, '1_Datos'!C:C, B50)</f>
        <v>193.10666666666668</v>
      </c>
      <c r="D50" s="87">
        <f t="shared" si="0"/>
        <v>125.51933333333335</v>
      </c>
      <c r="E50" s="9">
        <v>145</v>
      </c>
      <c r="F50" s="9">
        <v>165</v>
      </c>
      <c r="G50" s="88">
        <f>Tbl_Sin_Restricciones[[#This Row],[Precio unitario (€)]]-Tbl_Sin_Restricciones[[#This Row],[Coste unitario (€)]]</f>
        <v>67.587333333333333</v>
      </c>
      <c r="H50" s="93">
        <v>145</v>
      </c>
      <c r="I50" s="88">
        <f>Tbl_Sin_Restricciones[[#This Row],[Beneficio unitario (€)]]*Tbl_Sin_Restricciones[[#This Row],[Unidades pedidas]]</f>
        <v>9800.1633333333339</v>
      </c>
      <c r="J50" s="131">
        <f>Tbl_Sin_Restricciones[[#This Row],[Beneficio unitario (€)]] * Tbl_Sin_Restricciones[[#This Row],[Unidades a exportar]]</f>
        <v>9800.1633333333339</v>
      </c>
      <c r="K50" s="1"/>
      <c r="L50" s="1"/>
      <c r="M50" s="80" t="s">
        <v>198</v>
      </c>
      <c r="N50" s="102"/>
      <c r="O50" s="103"/>
      <c r="P50" s="103"/>
      <c r="Q50" s="103"/>
      <c r="R50" s="8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 spans="1:134" ht="17" x14ac:dyDescent="0.25">
      <c r="A51" s="8" t="s">
        <v>15</v>
      </c>
      <c r="B51" s="8" t="s">
        <v>21</v>
      </c>
      <c r="C51" s="87">
        <f xml:space="preserve"> AVERAGEIFS('1_Datos'!E:E, '1_Datos'!B:B, A51, '1_Datos'!C:C, B51)</f>
        <v>182.14</v>
      </c>
      <c r="D51" s="87">
        <f t="shared" si="0"/>
        <v>118.39099999999999</v>
      </c>
      <c r="E51" s="9">
        <v>100</v>
      </c>
      <c r="F51" s="9">
        <v>120</v>
      </c>
      <c r="G51" s="88">
        <f>Tbl_Sin_Restricciones[[#This Row],[Precio unitario (€)]]-Tbl_Sin_Restricciones[[#This Row],[Coste unitario (€)]]</f>
        <v>63.748999999999995</v>
      </c>
      <c r="H51" s="93">
        <v>100</v>
      </c>
      <c r="I51" s="88">
        <f>Tbl_Sin_Restricciones[[#This Row],[Beneficio unitario (€)]]*Tbl_Sin_Restricciones[[#This Row],[Unidades pedidas]]</f>
        <v>6374.9</v>
      </c>
      <c r="J51" s="131">
        <f>Tbl_Sin_Restricciones[[#This Row],[Beneficio unitario (€)]] * Tbl_Sin_Restricciones[[#This Row],[Unidades a exportar]]</f>
        <v>6374.9</v>
      </c>
      <c r="K51" s="1"/>
      <c r="L51" s="1"/>
      <c r="M51" s="123" t="s">
        <v>199</v>
      </c>
      <c r="N51" s="103"/>
      <c r="O51" s="103"/>
      <c r="P51" s="103"/>
      <c r="Q51" s="103"/>
      <c r="R51" s="8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</row>
    <row r="52" spans="1:134" ht="17" x14ac:dyDescent="0.25">
      <c r="A52" s="86" t="s">
        <v>15</v>
      </c>
      <c r="B52" s="86" t="s">
        <v>11</v>
      </c>
      <c r="C52" s="87">
        <f xml:space="preserve"> AVERAGEIFS('1_Datos'!E:E, '1_Datos'!B:B, A52, '1_Datos'!C:C, B52)</f>
        <v>137.38200000000001</v>
      </c>
      <c r="D52" s="87">
        <f t="shared" si="0"/>
        <v>89.298300000000012</v>
      </c>
      <c r="E52" s="9">
        <v>115</v>
      </c>
      <c r="F52" s="9">
        <v>130</v>
      </c>
      <c r="G52" s="88">
        <f>Tbl_Sin_Restricciones[[#This Row],[Precio unitario (€)]]-Tbl_Sin_Restricciones[[#This Row],[Coste unitario (€)]]</f>
        <v>48.083699999999993</v>
      </c>
      <c r="H52" s="93">
        <v>115</v>
      </c>
      <c r="I52" s="88">
        <f>Tbl_Sin_Restricciones[[#This Row],[Beneficio unitario (€)]]*Tbl_Sin_Restricciones[[#This Row],[Unidades pedidas]]</f>
        <v>5529.6254999999992</v>
      </c>
      <c r="J52" s="131">
        <f>Tbl_Sin_Restricciones[[#This Row],[Beneficio unitario (€)]] * Tbl_Sin_Restricciones[[#This Row],[Unidades a exportar]]</f>
        <v>5529.6254999999992</v>
      </c>
      <c r="K52" s="1"/>
      <c r="L52" s="1"/>
      <c r="M52" s="80" t="s">
        <v>200</v>
      </c>
      <c r="N52" s="102"/>
      <c r="O52" s="103"/>
      <c r="P52" s="103"/>
      <c r="Q52" s="103"/>
      <c r="R52" s="8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</row>
    <row r="53" spans="1:134" ht="17" x14ac:dyDescent="0.25">
      <c r="A53" s="8" t="s">
        <v>9</v>
      </c>
      <c r="B53" s="8" t="s">
        <v>10</v>
      </c>
      <c r="C53" s="87">
        <f xml:space="preserve"> AVERAGEIFS('1_Datos'!E:E, '1_Datos'!B:B, A53, '1_Datos'!C:C, B53)</f>
        <v>157.51500000000001</v>
      </c>
      <c r="D53" s="87">
        <f t="shared" si="0"/>
        <v>102.38475000000001</v>
      </c>
      <c r="E53" s="9">
        <v>140</v>
      </c>
      <c r="F53" s="9">
        <v>160</v>
      </c>
      <c r="G53" s="88">
        <f>Tbl_Sin_Restricciones[[#This Row],[Precio unitario (€)]]-Tbl_Sin_Restricciones[[#This Row],[Coste unitario (€)]]</f>
        <v>55.130250000000004</v>
      </c>
      <c r="H53" s="93">
        <v>140</v>
      </c>
      <c r="I53" s="88">
        <f>Tbl_Sin_Restricciones[[#This Row],[Beneficio unitario (€)]]*Tbl_Sin_Restricciones[[#This Row],[Unidades pedidas]]</f>
        <v>7718.2350000000006</v>
      </c>
      <c r="J53" s="131">
        <f>Tbl_Sin_Restricciones[[#This Row],[Beneficio unitario (€)]] * Tbl_Sin_Restricciones[[#This Row],[Unidades a exportar]]</f>
        <v>7718.2350000000006</v>
      </c>
      <c r="K53" s="1"/>
      <c r="L53" s="1"/>
      <c r="M53" s="82"/>
      <c r="N53" s="105"/>
      <c r="O53" s="83"/>
      <c r="P53" s="83"/>
      <c r="Q53" s="83"/>
      <c r="R53" s="84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</row>
    <row r="54" spans="1:134" ht="17" x14ac:dyDescent="0.25">
      <c r="A54" s="86" t="s">
        <v>9</v>
      </c>
      <c r="B54" s="86" t="s">
        <v>18</v>
      </c>
      <c r="C54" s="87">
        <f xml:space="preserve"> AVERAGEIFS('1_Datos'!E:E, '1_Datos'!B:B, A54, '1_Datos'!C:C, B54)</f>
        <v>98.05</v>
      </c>
      <c r="D54" s="87">
        <f t="shared" si="0"/>
        <v>63.732500000000002</v>
      </c>
      <c r="E54" s="9">
        <v>165</v>
      </c>
      <c r="F54" s="9">
        <v>190</v>
      </c>
      <c r="G54" s="88">
        <f>Tbl_Sin_Restricciones[[#This Row],[Precio unitario (€)]]-Tbl_Sin_Restricciones[[#This Row],[Coste unitario (€)]]</f>
        <v>34.317499999999995</v>
      </c>
      <c r="H54" s="93">
        <v>165</v>
      </c>
      <c r="I54" s="88">
        <f>Tbl_Sin_Restricciones[[#This Row],[Beneficio unitario (€)]]*Tbl_Sin_Restricciones[[#This Row],[Unidades pedidas]]</f>
        <v>5662.3874999999989</v>
      </c>
      <c r="J54" s="131">
        <f>Tbl_Sin_Restricciones[[#This Row],[Beneficio unitario (€)]] * Tbl_Sin_Restricciones[[#This Row],[Unidades a exportar]]</f>
        <v>5662.3874999999989</v>
      </c>
      <c r="K54" s="1"/>
      <c r="L54" s="1"/>
      <c r="M54" s="1"/>
      <c r="N54" s="10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</row>
    <row r="55" spans="1:134" ht="17" x14ac:dyDescent="0.25">
      <c r="A55" s="8" t="s">
        <v>9</v>
      </c>
      <c r="B55" s="8" t="s">
        <v>20</v>
      </c>
      <c r="C55" s="87">
        <f xml:space="preserve"> AVERAGEIFS('1_Datos'!E:E, '1_Datos'!B:B, A55, '1_Datos'!C:C, B55)</f>
        <v>123.43</v>
      </c>
      <c r="D55" s="87">
        <f t="shared" si="0"/>
        <v>80.229500000000002</v>
      </c>
      <c r="E55" s="9">
        <v>135</v>
      </c>
      <c r="F55" s="9">
        <v>145</v>
      </c>
      <c r="G55" s="88">
        <f>Tbl_Sin_Restricciones[[#This Row],[Precio unitario (€)]]-Tbl_Sin_Restricciones[[#This Row],[Coste unitario (€)]]</f>
        <v>43.200500000000005</v>
      </c>
      <c r="H55" s="93">
        <v>135</v>
      </c>
      <c r="I55" s="88">
        <f>Tbl_Sin_Restricciones[[#This Row],[Beneficio unitario (€)]]*Tbl_Sin_Restricciones[[#This Row],[Unidades pedidas]]</f>
        <v>5832.067500000001</v>
      </c>
      <c r="J55" s="131">
        <f>Tbl_Sin_Restricciones[[#This Row],[Beneficio unitario (€)]] * Tbl_Sin_Restricciones[[#This Row],[Unidades a exportar]]</f>
        <v>5832.067500000001</v>
      </c>
      <c r="K55" s="1"/>
      <c r="L55" s="1"/>
      <c r="M55" s="1"/>
      <c r="N55" s="10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</row>
    <row r="56" spans="1:134" ht="17" x14ac:dyDescent="0.25">
      <c r="A56" s="86" t="s">
        <v>9</v>
      </c>
      <c r="B56" s="86" t="s">
        <v>13</v>
      </c>
      <c r="C56" s="87">
        <f xml:space="preserve"> AVERAGEIFS('1_Datos'!E:E, '1_Datos'!B:B, A56, '1_Datos'!C:C, B56)</f>
        <v>57.61</v>
      </c>
      <c r="D56" s="87">
        <f t="shared" si="0"/>
        <v>37.4465</v>
      </c>
      <c r="E56" s="9">
        <v>95</v>
      </c>
      <c r="F56" s="9">
        <v>105</v>
      </c>
      <c r="G56" s="88">
        <f>Tbl_Sin_Restricciones[[#This Row],[Precio unitario (€)]]-Tbl_Sin_Restricciones[[#This Row],[Coste unitario (€)]]</f>
        <v>20.163499999999999</v>
      </c>
      <c r="H56" s="93">
        <v>95</v>
      </c>
      <c r="I56" s="88">
        <f>Tbl_Sin_Restricciones[[#This Row],[Beneficio unitario (€)]]*Tbl_Sin_Restricciones[[#This Row],[Unidades pedidas]]</f>
        <v>1915.5324999999998</v>
      </c>
      <c r="J56" s="131">
        <f>Tbl_Sin_Restricciones[[#This Row],[Beneficio unitario (€)]] * Tbl_Sin_Restricciones[[#This Row],[Unidades a exportar]]</f>
        <v>1915.5324999999998</v>
      </c>
      <c r="K56" s="1"/>
      <c r="L56" s="1"/>
      <c r="M56" s="1"/>
      <c r="N56" s="10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</row>
    <row r="57" spans="1:134" ht="17" x14ac:dyDescent="0.25">
      <c r="A57" s="8" t="s">
        <v>9</v>
      </c>
      <c r="B57" s="8" t="s">
        <v>16</v>
      </c>
      <c r="C57" s="87">
        <f xml:space="preserve"> AVERAGEIFS('1_Datos'!E:E, '1_Datos'!B:B, A57, '1_Datos'!C:C, B57)</f>
        <v>237.08499999999998</v>
      </c>
      <c r="D57" s="87">
        <f t="shared" si="0"/>
        <v>154.10524999999998</v>
      </c>
      <c r="E57" s="9">
        <v>80</v>
      </c>
      <c r="F57" s="9">
        <v>90</v>
      </c>
      <c r="G57" s="88">
        <f>Tbl_Sin_Restricciones[[#This Row],[Precio unitario (€)]]-Tbl_Sin_Restricciones[[#This Row],[Coste unitario (€)]]</f>
        <v>82.979749999999996</v>
      </c>
      <c r="H57" s="93">
        <v>80</v>
      </c>
      <c r="I57" s="88">
        <f>Tbl_Sin_Restricciones[[#This Row],[Beneficio unitario (€)]]*Tbl_Sin_Restricciones[[#This Row],[Unidades pedidas]]</f>
        <v>6638.3799999999992</v>
      </c>
      <c r="J57" s="131">
        <f>Tbl_Sin_Restricciones[[#This Row],[Beneficio unitario (€)]] * Tbl_Sin_Restricciones[[#This Row],[Unidades a exportar]]</f>
        <v>6638.3799999999992</v>
      </c>
      <c r="K57" s="1"/>
      <c r="L57" s="1"/>
      <c r="M57" s="1"/>
      <c r="N57" s="10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</row>
    <row r="58" spans="1:134" ht="17" x14ac:dyDescent="0.25">
      <c r="A58" s="86" t="s">
        <v>9</v>
      </c>
      <c r="B58" s="86" t="s">
        <v>8</v>
      </c>
      <c r="C58" s="87">
        <f xml:space="preserve"> AVERAGEIFS('1_Datos'!E:E, '1_Datos'!B:B, A58, '1_Datos'!C:C, B58)</f>
        <v>247.7</v>
      </c>
      <c r="D58" s="87">
        <f t="shared" si="0"/>
        <v>161.005</v>
      </c>
      <c r="E58" s="9">
        <v>175</v>
      </c>
      <c r="F58" s="9">
        <v>190</v>
      </c>
      <c r="G58" s="88">
        <f>Tbl_Sin_Restricciones[[#This Row],[Precio unitario (€)]]-Tbl_Sin_Restricciones[[#This Row],[Coste unitario (€)]]</f>
        <v>86.694999999999993</v>
      </c>
      <c r="H58" s="93">
        <v>175</v>
      </c>
      <c r="I58" s="88">
        <f>Tbl_Sin_Restricciones[[#This Row],[Beneficio unitario (€)]]*Tbl_Sin_Restricciones[[#This Row],[Unidades pedidas]]</f>
        <v>15171.624999999998</v>
      </c>
      <c r="J58" s="131">
        <f>Tbl_Sin_Restricciones[[#This Row],[Beneficio unitario (€)]] * Tbl_Sin_Restricciones[[#This Row],[Unidades a exportar]]</f>
        <v>15171.624999999998</v>
      </c>
      <c r="K58" s="1"/>
      <c r="L58" s="1"/>
      <c r="M58" s="1"/>
      <c r="N58" s="10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</row>
    <row r="59" spans="1:134" ht="17" x14ac:dyDescent="0.25">
      <c r="A59" s="8" t="s">
        <v>9</v>
      </c>
      <c r="B59" s="8" t="s">
        <v>14</v>
      </c>
      <c r="C59" s="87">
        <f xml:space="preserve"> AVERAGEIFS('1_Datos'!E:E, '1_Datos'!B:B, A59, '1_Datos'!C:C, B59)</f>
        <v>154.49333333333334</v>
      </c>
      <c r="D59" s="87">
        <f t="shared" si="0"/>
        <v>100.42066666666668</v>
      </c>
      <c r="E59" s="9">
        <v>110</v>
      </c>
      <c r="F59" s="9">
        <v>125</v>
      </c>
      <c r="G59" s="88">
        <f>Tbl_Sin_Restricciones[[#This Row],[Precio unitario (€)]]-Tbl_Sin_Restricciones[[#This Row],[Coste unitario (€)]]</f>
        <v>54.072666666666663</v>
      </c>
      <c r="H59" s="93">
        <v>110</v>
      </c>
      <c r="I59" s="88">
        <f>Tbl_Sin_Restricciones[[#This Row],[Beneficio unitario (€)]]*Tbl_Sin_Restricciones[[#This Row],[Unidades pedidas]]</f>
        <v>5947.9933333333329</v>
      </c>
      <c r="J59" s="131">
        <f>Tbl_Sin_Restricciones[[#This Row],[Beneficio unitario (€)]] * Tbl_Sin_Restricciones[[#This Row],[Unidades a exportar]]</f>
        <v>5947.9933333333329</v>
      </c>
      <c r="K59" s="1"/>
      <c r="L59" s="1"/>
      <c r="M59" s="1"/>
      <c r="N59" s="10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</row>
    <row r="60" spans="1:134" ht="17" x14ac:dyDescent="0.25">
      <c r="A60" s="86" t="s">
        <v>9</v>
      </c>
      <c r="B60" s="86" t="s">
        <v>19</v>
      </c>
      <c r="C60" s="87">
        <f xml:space="preserve"> AVERAGEIFS('1_Datos'!E:E, '1_Datos'!B:B, A60, '1_Datos'!C:C, B60)</f>
        <v>82.95</v>
      </c>
      <c r="D60" s="87">
        <f t="shared" si="0"/>
        <v>53.917500000000004</v>
      </c>
      <c r="E60" s="9">
        <v>130</v>
      </c>
      <c r="F60" s="9">
        <v>145</v>
      </c>
      <c r="G60" s="88">
        <f>Tbl_Sin_Restricciones[[#This Row],[Precio unitario (€)]]-Tbl_Sin_Restricciones[[#This Row],[Coste unitario (€)]]</f>
        <v>29.032499999999999</v>
      </c>
      <c r="H60" s="93">
        <v>130</v>
      </c>
      <c r="I60" s="88">
        <f>Tbl_Sin_Restricciones[[#This Row],[Beneficio unitario (€)]]*Tbl_Sin_Restricciones[[#This Row],[Unidades pedidas]]</f>
        <v>3774.2249999999999</v>
      </c>
      <c r="J60" s="131">
        <f>Tbl_Sin_Restricciones[[#This Row],[Beneficio unitario (€)]] * Tbl_Sin_Restricciones[[#This Row],[Unidades a exportar]]</f>
        <v>3774.2249999999999</v>
      </c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</row>
    <row r="61" spans="1:134" ht="17" x14ac:dyDescent="0.25">
      <c r="A61" s="8" t="s">
        <v>9</v>
      </c>
      <c r="B61" s="8" t="s">
        <v>21</v>
      </c>
      <c r="C61" s="87">
        <f xml:space="preserve"> AVERAGEIFS('1_Datos'!E:E, '1_Datos'!B:B, A61, '1_Datos'!C:C, B61)</f>
        <v>157.94499999999999</v>
      </c>
      <c r="D61" s="87">
        <f t="shared" si="0"/>
        <v>102.66425</v>
      </c>
      <c r="E61" s="9">
        <v>145</v>
      </c>
      <c r="F61" s="9">
        <v>160</v>
      </c>
      <c r="G61" s="88">
        <f>Tbl_Sin_Restricciones[[#This Row],[Precio unitario (€)]]-Tbl_Sin_Restricciones[[#This Row],[Coste unitario (€)]]</f>
        <v>55.280749999999998</v>
      </c>
      <c r="H61" s="93">
        <v>145</v>
      </c>
      <c r="I61" s="88">
        <f>Tbl_Sin_Restricciones[[#This Row],[Beneficio unitario (€)]]*Tbl_Sin_Restricciones[[#This Row],[Unidades pedidas]]</f>
        <v>8015.7087499999998</v>
      </c>
      <c r="J61" s="131">
        <f>Tbl_Sin_Restricciones[[#This Row],[Beneficio unitario (€)]] * Tbl_Sin_Restricciones[[#This Row],[Unidades a exportar]]</f>
        <v>8015.7087499999998</v>
      </c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</row>
    <row r="62" spans="1:134" ht="17" x14ac:dyDescent="0.25">
      <c r="A62" s="86" t="s">
        <v>9</v>
      </c>
      <c r="B62" s="86" t="s">
        <v>11</v>
      </c>
      <c r="C62" s="87">
        <f xml:space="preserve"> AVERAGEIFS('1_Datos'!E:E, '1_Datos'!B:B, A62, '1_Datos'!C:C, B62)</f>
        <v>151.36000000000001</v>
      </c>
      <c r="D62" s="87">
        <f t="shared" si="0"/>
        <v>98.384000000000015</v>
      </c>
      <c r="E62" s="9">
        <v>120</v>
      </c>
      <c r="F62" s="9">
        <v>135</v>
      </c>
      <c r="G62" s="88">
        <f>Tbl_Sin_Restricciones[[#This Row],[Precio unitario (€)]]-Tbl_Sin_Restricciones[[#This Row],[Coste unitario (€)]]</f>
        <v>52.975999999999999</v>
      </c>
      <c r="H62" s="93">
        <v>120</v>
      </c>
      <c r="I62" s="88">
        <f>Tbl_Sin_Restricciones[[#This Row],[Beneficio unitario (€)]]*Tbl_Sin_Restricciones[[#This Row],[Unidades pedidas]]</f>
        <v>6357.12</v>
      </c>
      <c r="J62" s="131">
        <f>Tbl_Sin_Restricciones[[#This Row],[Beneficio unitario (€)]] * Tbl_Sin_Restricciones[[#This Row],[Unidades a exportar]]</f>
        <v>6357.12</v>
      </c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</row>
    <row r="63" spans="1:134" ht="17" x14ac:dyDescent="0.25">
      <c r="A63" s="8" t="s">
        <v>22</v>
      </c>
      <c r="B63" s="8" t="s">
        <v>10</v>
      </c>
      <c r="C63" s="87">
        <f xml:space="preserve"> AVERAGEIFS('1_Datos'!E:E, '1_Datos'!B:B, A63, '1_Datos'!C:C, B63)</f>
        <v>88.07</v>
      </c>
      <c r="D63" s="87">
        <f t="shared" si="0"/>
        <v>57.2455</v>
      </c>
      <c r="E63" s="9">
        <v>150</v>
      </c>
      <c r="F63" s="9">
        <v>165</v>
      </c>
      <c r="G63" s="88">
        <f>Tbl_Sin_Restricciones[[#This Row],[Precio unitario (€)]]-Tbl_Sin_Restricciones[[#This Row],[Coste unitario (€)]]</f>
        <v>30.824499999999993</v>
      </c>
      <c r="H63" s="93">
        <v>150</v>
      </c>
      <c r="I63" s="88">
        <f>Tbl_Sin_Restricciones[[#This Row],[Beneficio unitario (€)]]*Tbl_Sin_Restricciones[[#This Row],[Unidades pedidas]]</f>
        <v>4623.6749999999993</v>
      </c>
      <c r="J63" s="131">
        <f>Tbl_Sin_Restricciones[[#This Row],[Beneficio unitario (€)]] * Tbl_Sin_Restricciones[[#This Row],[Unidades a exportar]]</f>
        <v>4623.6749999999993</v>
      </c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 spans="1:134" ht="17" x14ac:dyDescent="0.25">
      <c r="A64" s="86" t="s">
        <v>22</v>
      </c>
      <c r="B64" s="86" t="s">
        <v>18</v>
      </c>
      <c r="C64" s="87">
        <f xml:space="preserve"> AVERAGEIFS('1_Datos'!E:E, '1_Datos'!B:B, A64, '1_Datos'!C:C, B64)</f>
        <v>137.61000000000001</v>
      </c>
      <c r="D64" s="87">
        <f t="shared" si="0"/>
        <v>89.446500000000015</v>
      </c>
      <c r="E64" s="9">
        <v>180</v>
      </c>
      <c r="F64" s="9">
        <v>195</v>
      </c>
      <c r="G64" s="88">
        <f>Tbl_Sin_Restricciones[[#This Row],[Precio unitario (€)]]-Tbl_Sin_Restricciones[[#This Row],[Coste unitario (€)]]</f>
        <v>48.163499999999999</v>
      </c>
      <c r="H64" s="93">
        <v>180</v>
      </c>
      <c r="I64" s="88">
        <f>Tbl_Sin_Restricciones[[#This Row],[Beneficio unitario (€)]]*Tbl_Sin_Restricciones[[#This Row],[Unidades pedidas]]</f>
        <v>8669.43</v>
      </c>
      <c r="J64" s="131">
        <f>Tbl_Sin_Restricciones[[#This Row],[Beneficio unitario (€)]] * Tbl_Sin_Restricciones[[#This Row],[Unidades a exportar]]</f>
        <v>8669.43</v>
      </c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</row>
    <row r="65" spans="1:134" ht="17" x14ac:dyDescent="0.25">
      <c r="A65" s="8" t="s">
        <v>22</v>
      </c>
      <c r="B65" s="8" t="s">
        <v>20</v>
      </c>
      <c r="C65" s="87">
        <f xml:space="preserve"> AVERAGEIFS('1_Datos'!E:E, '1_Datos'!B:B, A65, '1_Datos'!C:C, B65)</f>
        <v>127.88</v>
      </c>
      <c r="D65" s="87">
        <f t="shared" si="0"/>
        <v>83.122</v>
      </c>
      <c r="E65" s="9">
        <v>155</v>
      </c>
      <c r="F65" s="9">
        <v>170</v>
      </c>
      <c r="G65" s="88">
        <f>Tbl_Sin_Restricciones[[#This Row],[Precio unitario (€)]]-Tbl_Sin_Restricciones[[#This Row],[Coste unitario (€)]]</f>
        <v>44.757999999999996</v>
      </c>
      <c r="H65" s="93">
        <v>155</v>
      </c>
      <c r="I65" s="88">
        <f>Tbl_Sin_Restricciones[[#This Row],[Beneficio unitario (€)]]*Tbl_Sin_Restricciones[[#This Row],[Unidades pedidas]]</f>
        <v>6937.4899999999989</v>
      </c>
      <c r="J65" s="131">
        <f>Tbl_Sin_Restricciones[[#This Row],[Beneficio unitario (€)]] * Tbl_Sin_Restricciones[[#This Row],[Unidades a exportar]]</f>
        <v>6937.4899999999989</v>
      </c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</row>
    <row r="66" spans="1:134" ht="17" x14ac:dyDescent="0.25">
      <c r="A66" s="86" t="s">
        <v>22</v>
      </c>
      <c r="B66" s="86" t="s">
        <v>13</v>
      </c>
      <c r="C66" s="87">
        <f xml:space="preserve"> AVERAGEIFS('1_Datos'!E:E, '1_Datos'!B:B, A66, '1_Datos'!C:C, B66)</f>
        <v>85.534999999999997</v>
      </c>
      <c r="D66" s="87">
        <f t="shared" si="0"/>
        <v>55.597749999999998</v>
      </c>
      <c r="E66" s="9">
        <v>160</v>
      </c>
      <c r="F66" s="9">
        <v>180</v>
      </c>
      <c r="G66" s="88">
        <f>Tbl_Sin_Restricciones[[#This Row],[Precio unitario (€)]]-Tbl_Sin_Restricciones[[#This Row],[Coste unitario (€)]]</f>
        <v>29.937249999999999</v>
      </c>
      <c r="H66" s="93">
        <v>160</v>
      </c>
      <c r="I66" s="88">
        <f>Tbl_Sin_Restricciones[[#This Row],[Beneficio unitario (€)]]*Tbl_Sin_Restricciones[[#This Row],[Unidades pedidas]]</f>
        <v>4789.96</v>
      </c>
      <c r="J66" s="131">
        <f>Tbl_Sin_Restricciones[[#This Row],[Beneficio unitario (€)]] * Tbl_Sin_Restricciones[[#This Row],[Unidades a exportar]]</f>
        <v>4789.96</v>
      </c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</row>
    <row r="67" spans="1:134" ht="17" x14ac:dyDescent="0.25">
      <c r="A67" s="8" t="s">
        <v>22</v>
      </c>
      <c r="B67" s="8" t="s">
        <v>16</v>
      </c>
      <c r="C67" s="87">
        <f xml:space="preserve"> AVERAGEIFS('1_Datos'!E:E, '1_Datos'!B:B, A67, '1_Datos'!C:C, B67)</f>
        <v>123.58</v>
      </c>
      <c r="D67" s="87">
        <f t="shared" si="0"/>
        <v>80.326999999999998</v>
      </c>
      <c r="E67" s="9">
        <v>100</v>
      </c>
      <c r="F67" s="9">
        <v>115</v>
      </c>
      <c r="G67" s="88">
        <f>Tbl_Sin_Restricciones[[#This Row],[Precio unitario (€)]]-Tbl_Sin_Restricciones[[#This Row],[Coste unitario (€)]]</f>
        <v>43.253</v>
      </c>
      <c r="H67" s="93">
        <v>100</v>
      </c>
      <c r="I67" s="88">
        <f>Tbl_Sin_Restricciones[[#This Row],[Beneficio unitario (€)]]*Tbl_Sin_Restricciones[[#This Row],[Unidades pedidas]]</f>
        <v>4325.3</v>
      </c>
      <c r="J67" s="131">
        <f>Tbl_Sin_Restricciones[[#This Row],[Beneficio unitario (€)]] * Tbl_Sin_Restricciones[[#This Row],[Unidades a exportar]]</f>
        <v>4325.3</v>
      </c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</row>
    <row r="68" spans="1:134" ht="17" x14ac:dyDescent="0.25">
      <c r="A68" s="86" t="s">
        <v>22</v>
      </c>
      <c r="B68" s="86" t="s">
        <v>14</v>
      </c>
      <c r="C68" s="87">
        <f xml:space="preserve"> AVERAGEIFS('1_Datos'!E:E, '1_Datos'!B:B, A68, '1_Datos'!C:C, B68)</f>
        <v>142.97999999999999</v>
      </c>
      <c r="D68" s="87">
        <f t="shared" si="0"/>
        <v>92.936999999999998</v>
      </c>
      <c r="E68" s="9">
        <v>140</v>
      </c>
      <c r="F68" s="9">
        <v>160</v>
      </c>
      <c r="G68" s="88">
        <f>Tbl_Sin_Restricciones[[#This Row],[Precio unitario (€)]]-Tbl_Sin_Restricciones[[#This Row],[Coste unitario (€)]]</f>
        <v>50.042999999999992</v>
      </c>
      <c r="H68" s="93">
        <v>140</v>
      </c>
      <c r="I68" s="88">
        <f>Tbl_Sin_Restricciones[[#This Row],[Beneficio unitario (€)]]*Tbl_Sin_Restricciones[[#This Row],[Unidades pedidas]]</f>
        <v>7006.0199999999986</v>
      </c>
      <c r="J68" s="131">
        <f>Tbl_Sin_Restricciones[[#This Row],[Beneficio unitario (€)]] * Tbl_Sin_Restricciones[[#This Row],[Unidades a exportar]]</f>
        <v>7006.0199999999986</v>
      </c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</row>
    <row r="69" spans="1:134" ht="17" x14ac:dyDescent="0.25">
      <c r="A69" s="8" t="s">
        <v>22</v>
      </c>
      <c r="B69" s="8" t="s">
        <v>19</v>
      </c>
      <c r="C69" s="87">
        <f xml:space="preserve"> AVERAGEIFS('1_Datos'!E:E, '1_Datos'!B:B, A69, '1_Datos'!C:C, B69)</f>
        <v>138.76</v>
      </c>
      <c r="D69" s="87">
        <f t="shared" si="0"/>
        <v>90.194000000000003</v>
      </c>
      <c r="E69" s="9">
        <v>120</v>
      </c>
      <c r="F69" s="9">
        <v>135</v>
      </c>
      <c r="G69" s="88">
        <f>Tbl_Sin_Restricciones[[#This Row],[Precio unitario (€)]]-Tbl_Sin_Restricciones[[#This Row],[Coste unitario (€)]]</f>
        <v>48.565999999999988</v>
      </c>
      <c r="H69" s="93">
        <v>120</v>
      </c>
      <c r="I69" s="88">
        <f>Tbl_Sin_Restricciones[[#This Row],[Beneficio unitario (€)]]*Tbl_Sin_Restricciones[[#This Row],[Unidades pedidas]]</f>
        <v>5827.9199999999983</v>
      </c>
      <c r="J69" s="131">
        <f>Tbl_Sin_Restricciones[[#This Row],[Beneficio unitario (€)]] * Tbl_Sin_Restricciones[[#This Row],[Unidades a exportar]]</f>
        <v>5827.9199999999983</v>
      </c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</row>
    <row r="70" spans="1:134" ht="17" x14ac:dyDescent="0.25">
      <c r="A70" s="86" t="s">
        <v>22</v>
      </c>
      <c r="B70" s="86" t="s">
        <v>21</v>
      </c>
      <c r="C70" s="87">
        <f xml:space="preserve"> AVERAGEIFS('1_Datos'!E:E, '1_Datos'!B:B, A70, '1_Datos'!C:C, B70)</f>
        <v>103.75666666666666</v>
      </c>
      <c r="D70" s="87">
        <f t="shared" si="0"/>
        <v>67.441833333333335</v>
      </c>
      <c r="E70" s="9">
        <v>85</v>
      </c>
      <c r="F70" s="9">
        <v>95</v>
      </c>
      <c r="G70" s="88">
        <f>Tbl_Sin_Restricciones[[#This Row],[Precio unitario (€)]]-Tbl_Sin_Restricciones[[#This Row],[Coste unitario (€)]]</f>
        <v>36.314833333333326</v>
      </c>
      <c r="H70" s="93">
        <v>85</v>
      </c>
      <c r="I70" s="88">
        <f>Tbl_Sin_Restricciones[[#This Row],[Beneficio unitario (€)]]*Tbl_Sin_Restricciones[[#This Row],[Unidades pedidas]]</f>
        <v>3086.7608333333328</v>
      </c>
      <c r="J70" s="131">
        <f>Tbl_Sin_Restricciones[[#This Row],[Beneficio unitario (€)]] * Tbl_Sin_Restricciones[[#This Row],[Unidades a exportar]]</f>
        <v>3086.7608333333328</v>
      </c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</row>
    <row r="71" spans="1:134" ht="17" x14ac:dyDescent="0.25">
      <c r="A71" s="8" t="s">
        <v>22</v>
      </c>
      <c r="B71" s="8" t="s">
        <v>11</v>
      </c>
      <c r="C71" s="87">
        <f xml:space="preserve"> AVERAGEIFS('1_Datos'!E:E, '1_Datos'!B:B, A71, '1_Datos'!C:C, B71)</f>
        <v>65.86</v>
      </c>
      <c r="D71" s="87">
        <f t="shared" si="0"/>
        <v>42.809000000000005</v>
      </c>
      <c r="E71" s="9">
        <v>190</v>
      </c>
      <c r="F71" s="9">
        <v>200</v>
      </c>
      <c r="G71" s="88">
        <f>Tbl_Sin_Restricciones[[#This Row],[Precio unitario (€)]]-Tbl_Sin_Restricciones[[#This Row],[Coste unitario (€)]]</f>
        <v>23.050999999999995</v>
      </c>
      <c r="H71" s="93">
        <v>190</v>
      </c>
      <c r="I71" s="88">
        <f>Tbl_Sin_Restricciones[[#This Row],[Beneficio unitario (€)]]*Tbl_Sin_Restricciones[[#This Row],[Unidades pedidas]]</f>
        <v>4379.6899999999987</v>
      </c>
      <c r="J71" s="131">
        <f>Tbl_Sin_Restricciones[[#This Row],[Beneficio unitario (€)]] * Tbl_Sin_Restricciones[[#This Row],[Unidades a exportar]]</f>
        <v>4379.6899999999987</v>
      </c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</row>
    <row r="72" spans="1:134" ht="17" x14ac:dyDescent="0.25">
      <c r="A72" s="86" t="s">
        <v>23</v>
      </c>
      <c r="B72" s="86" t="s">
        <v>10</v>
      </c>
      <c r="C72" s="87">
        <f xml:space="preserve"> AVERAGEIFS('1_Datos'!E:E, '1_Datos'!B:B, A72, '1_Datos'!C:C, B72)</f>
        <v>149.80000000000001</v>
      </c>
      <c r="D72" s="87">
        <f t="shared" si="0"/>
        <v>97.37</v>
      </c>
      <c r="E72" s="9">
        <v>130</v>
      </c>
      <c r="F72" s="9">
        <v>150</v>
      </c>
      <c r="G72" s="88">
        <f>Tbl_Sin_Restricciones[[#This Row],[Precio unitario (€)]]-Tbl_Sin_Restricciones[[#This Row],[Coste unitario (€)]]</f>
        <v>52.430000000000007</v>
      </c>
      <c r="H72" s="93">
        <v>130</v>
      </c>
      <c r="I72" s="88">
        <f>Tbl_Sin_Restricciones[[#This Row],[Beneficio unitario (€)]]*Tbl_Sin_Restricciones[[#This Row],[Unidades pedidas]]</f>
        <v>6815.9000000000005</v>
      </c>
      <c r="J72" s="131">
        <f>Tbl_Sin_Restricciones[[#This Row],[Beneficio unitario (€)]] * Tbl_Sin_Restricciones[[#This Row],[Unidades a exportar]]</f>
        <v>6815.9000000000005</v>
      </c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</row>
    <row r="73" spans="1:134" ht="17" x14ac:dyDescent="0.25">
      <c r="A73" s="8" t="s">
        <v>23</v>
      </c>
      <c r="B73" s="8" t="s">
        <v>18</v>
      </c>
      <c r="C73" s="87">
        <f xml:space="preserve"> AVERAGEIFS('1_Datos'!E:E, '1_Datos'!B:B, A73, '1_Datos'!C:C, B73)</f>
        <v>143.685</v>
      </c>
      <c r="D73" s="87">
        <f t="shared" ref="D73:D80" si="2">0.65*C73</f>
        <v>93.395250000000004</v>
      </c>
      <c r="E73" s="9">
        <v>95</v>
      </c>
      <c r="F73" s="9">
        <v>110</v>
      </c>
      <c r="G73" s="88">
        <f>Tbl_Sin_Restricciones[[#This Row],[Precio unitario (€)]]-Tbl_Sin_Restricciones[[#This Row],[Coste unitario (€)]]</f>
        <v>50.289749999999998</v>
      </c>
      <c r="H73" s="93">
        <v>95</v>
      </c>
      <c r="I73" s="88">
        <f>Tbl_Sin_Restricciones[[#This Row],[Beneficio unitario (€)]]*Tbl_Sin_Restricciones[[#This Row],[Unidades pedidas]]</f>
        <v>4777.5262499999999</v>
      </c>
      <c r="J73" s="131">
        <f>Tbl_Sin_Restricciones[[#This Row],[Beneficio unitario (€)]] * Tbl_Sin_Restricciones[[#This Row],[Unidades a exportar]]</f>
        <v>4777.5262499999999</v>
      </c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</row>
    <row r="74" spans="1:134" ht="17" x14ac:dyDescent="0.25">
      <c r="A74" s="86" t="s">
        <v>23</v>
      </c>
      <c r="B74" s="86" t="s">
        <v>20</v>
      </c>
      <c r="C74" s="87">
        <f xml:space="preserve"> AVERAGEIFS('1_Datos'!E:E, '1_Datos'!B:B, A74, '1_Datos'!C:C, B74)</f>
        <v>212.38</v>
      </c>
      <c r="D74" s="87">
        <f t="shared" si="2"/>
        <v>138.047</v>
      </c>
      <c r="E74" s="9">
        <v>105</v>
      </c>
      <c r="F74" s="9">
        <v>120</v>
      </c>
      <c r="G74" s="88">
        <f>Tbl_Sin_Restricciones[[#This Row],[Precio unitario (€)]]-Tbl_Sin_Restricciones[[#This Row],[Coste unitario (€)]]</f>
        <v>74.332999999999998</v>
      </c>
      <c r="H74" s="93">
        <v>105</v>
      </c>
      <c r="I74" s="88">
        <f>Tbl_Sin_Restricciones[[#This Row],[Beneficio unitario (€)]]*Tbl_Sin_Restricciones[[#This Row],[Unidades pedidas]]</f>
        <v>7804.9650000000001</v>
      </c>
      <c r="J74" s="131">
        <f>Tbl_Sin_Restricciones[[#This Row],[Beneficio unitario (€)]] * Tbl_Sin_Restricciones[[#This Row],[Unidades a exportar]]</f>
        <v>7804.9650000000001</v>
      </c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</row>
    <row r="75" spans="1:134" ht="17" x14ac:dyDescent="0.25">
      <c r="A75" s="8" t="s">
        <v>23</v>
      </c>
      <c r="B75" s="8" t="s">
        <v>13</v>
      </c>
      <c r="C75" s="87">
        <f xml:space="preserve"> AVERAGEIFS('1_Datos'!E:E, '1_Datos'!B:B, A75, '1_Datos'!C:C, B75)</f>
        <v>155.73000000000002</v>
      </c>
      <c r="D75" s="87">
        <f t="shared" si="2"/>
        <v>101.22450000000002</v>
      </c>
      <c r="E75" s="9">
        <v>175</v>
      </c>
      <c r="F75" s="9">
        <v>185</v>
      </c>
      <c r="G75" s="88">
        <f>Tbl_Sin_Restricciones[[#This Row],[Precio unitario (€)]]-Tbl_Sin_Restricciones[[#This Row],[Coste unitario (€)]]</f>
        <v>54.505499999999998</v>
      </c>
      <c r="H75" s="93">
        <v>175</v>
      </c>
      <c r="I75" s="88">
        <f>Tbl_Sin_Restricciones[[#This Row],[Beneficio unitario (€)]]*Tbl_Sin_Restricciones[[#This Row],[Unidades pedidas]]</f>
        <v>9538.4624999999996</v>
      </c>
      <c r="J75" s="131">
        <f>Tbl_Sin_Restricciones[[#This Row],[Beneficio unitario (€)]] * Tbl_Sin_Restricciones[[#This Row],[Unidades a exportar]]</f>
        <v>9538.4624999999996</v>
      </c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</row>
    <row r="76" spans="1:134" ht="17" x14ac:dyDescent="0.25">
      <c r="A76" s="86" t="s">
        <v>23</v>
      </c>
      <c r="B76" s="86" t="s">
        <v>16</v>
      </c>
      <c r="C76" s="87">
        <f xml:space="preserve"> AVERAGEIFS('1_Datos'!E:E, '1_Datos'!B:B, A76, '1_Datos'!C:C, B76)</f>
        <v>204.75</v>
      </c>
      <c r="D76" s="87">
        <f t="shared" si="2"/>
        <v>133.08750000000001</v>
      </c>
      <c r="E76" s="9">
        <v>160</v>
      </c>
      <c r="F76" s="9">
        <v>165</v>
      </c>
      <c r="G76" s="88">
        <f>Tbl_Sin_Restricciones[[#This Row],[Precio unitario (€)]]-Tbl_Sin_Restricciones[[#This Row],[Coste unitario (€)]]</f>
        <v>71.662499999999994</v>
      </c>
      <c r="H76" s="93">
        <v>160</v>
      </c>
      <c r="I76" s="88">
        <f>Tbl_Sin_Restricciones[[#This Row],[Beneficio unitario (€)]]*Tbl_Sin_Restricciones[[#This Row],[Unidades pedidas]]</f>
        <v>11466</v>
      </c>
      <c r="J76" s="131">
        <f>Tbl_Sin_Restricciones[[#This Row],[Beneficio unitario (€)]] * Tbl_Sin_Restricciones[[#This Row],[Unidades a exportar]]</f>
        <v>11466</v>
      </c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</row>
    <row r="77" spans="1:134" ht="17" x14ac:dyDescent="0.25">
      <c r="A77" s="8" t="s">
        <v>23</v>
      </c>
      <c r="B77" s="8" t="s">
        <v>8</v>
      </c>
      <c r="C77" s="87">
        <f xml:space="preserve"> AVERAGEIFS('1_Datos'!E:E, '1_Datos'!B:B, A77, '1_Datos'!C:C, B77)</f>
        <v>181.72</v>
      </c>
      <c r="D77" s="87">
        <f t="shared" si="2"/>
        <v>118.11800000000001</v>
      </c>
      <c r="E77" s="9">
        <v>100</v>
      </c>
      <c r="F77" s="9">
        <v>110</v>
      </c>
      <c r="G77" s="88">
        <f>Tbl_Sin_Restricciones[[#This Row],[Precio unitario (€)]]-Tbl_Sin_Restricciones[[#This Row],[Coste unitario (€)]]</f>
        <v>63.60199999999999</v>
      </c>
      <c r="H77" s="93">
        <v>100</v>
      </c>
      <c r="I77" s="88">
        <f>Tbl_Sin_Restricciones[[#This Row],[Beneficio unitario (€)]]*Tbl_Sin_Restricciones[[#This Row],[Unidades pedidas]]</f>
        <v>6360.1999999999989</v>
      </c>
      <c r="J77" s="131">
        <f>Tbl_Sin_Restricciones[[#This Row],[Beneficio unitario (€)]] * Tbl_Sin_Restricciones[[#This Row],[Unidades a exportar]]</f>
        <v>6360.1999999999989</v>
      </c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</row>
    <row r="78" spans="1:134" ht="17" x14ac:dyDescent="0.25">
      <c r="A78" s="86" t="s">
        <v>23</v>
      </c>
      <c r="B78" s="86" t="s">
        <v>14</v>
      </c>
      <c r="C78" s="87">
        <f xml:space="preserve"> AVERAGEIFS('1_Datos'!E:E, '1_Datos'!B:B, A78, '1_Datos'!C:C, B78)</f>
        <v>135.88333333333335</v>
      </c>
      <c r="D78" s="87">
        <f t="shared" si="2"/>
        <v>88.324166666666684</v>
      </c>
      <c r="E78" s="9">
        <v>135</v>
      </c>
      <c r="F78" s="9">
        <v>145</v>
      </c>
      <c r="G78" s="88">
        <f>Tbl_Sin_Restricciones[[#This Row],[Precio unitario (€)]]-Tbl_Sin_Restricciones[[#This Row],[Coste unitario (€)]]</f>
        <v>47.55916666666667</v>
      </c>
      <c r="H78" s="93">
        <v>135</v>
      </c>
      <c r="I78" s="88">
        <f>Tbl_Sin_Restricciones[[#This Row],[Beneficio unitario (€)]]*Tbl_Sin_Restricciones[[#This Row],[Unidades pedidas]]</f>
        <v>6420.4875000000002</v>
      </c>
      <c r="J78" s="131">
        <f>Tbl_Sin_Restricciones[[#This Row],[Beneficio unitario (€)]] * Tbl_Sin_Restricciones[[#This Row],[Unidades a exportar]]</f>
        <v>6420.4875000000002</v>
      </c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</row>
    <row r="79" spans="1:134" ht="17" x14ac:dyDescent="0.25">
      <c r="A79" s="8" t="s">
        <v>23</v>
      </c>
      <c r="B79" s="8" t="s">
        <v>21</v>
      </c>
      <c r="C79" s="87">
        <f xml:space="preserve"> AVERAGEIFS('1_Datos'!E:E, '1_Datos'!B:B, A79, '1_Datos'!C:C, B79)</f>
        <v>219.55</v>
      </c>
      <c r="D79" s="87">
        <f t="shared" si="2"/>
        <v>142.70750000000001</v>
      </c>
      <c r="E79" s="9">
        <v>115</v>
      </c>
      <c r="F79" s="9">
        <v>120</v>
      </c>
      <c r="G79" s="88">
        <f>Tbl_Sin_Restricciones[[#This Row],[Precio unitario (€)]]-Tbl_Sin_Restricciones[[#This Row],[Coste unitario (€)]]</f>
        <v>76.842500000000001</v>
      </c>
      <c r="H79" s="93">
        <v>115</v>
      </c>
      <c r="I79" s="88">
        <f>Tbl_Sin_Restricciones[[#This Row],[Beneficio unitario (€)]]*Tbl_Sin_Restricciones[[#This Row],[Unidades pedidas]]</f>
        <v>8836.8875000000007</v>
      </c>
      <c r="J79" s="131">
        <f>Tbl_Sin_Restricciones[[#This Row],[Beneficio unitario (€)]] * Tbl_Sin_Restricciones[[#This Row],[Unidades a exportar]]</f>
        <v>8836.8875000000007</v>
      </c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</row>
    <row r="80" spans="1:134" ht="17" x14ac:dyDescent="0.25">
      <c r="A80" s="86" t="s">
        <v>23</v>
      </c>
      <c r="B80" s="86" t="s">
        <v>11</v>
      </c>
      <c r="C80" s="87">
        <f xml:space="preserve"> AVERAGEIFS('1_Datos'!E:E, '1_Datos'!B:B, A80, '1_Datos'!C:C, B80)</f>
        <v>135.51</v>
      </c>
      <c r="D80" s="87">
        <f t="shared" si="2"/>
        <v>88.081499999999991</v>
      </c>
      <c r="E80" s="9">
        <v>140</v>
      </c>
      <c r="F80" s="9">
        <v>150</v>
      </c>
      <c r="G80" s="88">
        <f>Tbl_Sin_Restricciones[[#This Row],[Precio unitario (€)]]-Tbl_Sin_Restricciones[[#This Row],[Coste unitario (€)]]</f>
        <v>47.4285</v>
      </c>
      <c r="H80" s="93">
        <v>140</v>
      </c>
      <c r="I80" s="88">
        <f>Tbl_Sin_Restricciones[[#This Row],[Beneficio unitario (€)]]*Tbl_Sin_Restricciones[[#This Row],[Unidades pedidas]]</f>
        <v>6639.99</v>
      </c>
      <c r="J80" s="131">
        <f>Tbl_Sin_Restricciones[[#This Row],[Beneficio unitario (€)]] * Tbl_Sin_Restricciones[[#This Row],[Unidades a exportar]]</f>
        <v>6639.99</v>
      </c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 spans="1:131" ht="1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</row>
    <row r="82" spans="1:131" ht="1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</row>
    <row r="83" spans="1:131" ht="1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</row>
    <row r="84" spans="1:131" ht="13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 spans="1:131" ht="20" customHeight="1" x14ac:dyDescent="0.3">
      <c r="A85" s="185" t="s">
        <v>212</v>
      </c>
      <c r="B85" s="185"/>
      <c r="C85" s="185"/>
      <c r="D85" s="185"/>
      <c r="E85" s="185"/>
      <c r="F85" s="185"/>
      <c r="G85" s="185"/>
      <c r="H85" s="185"/>
      <c r="I85" s="185"/>
      <c r="J85" s="18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</row>
    <row r="86" spans="1:131" ht="17" x14ac:dyDescent="0.25">
      <c r="A86" s="1"/>
      <c r="B86" s="1"/>
      <c r="C86" s="1"/>
      <c r="D86" s="1"/>
      <c r="E86" s="1"/>
      <c r="F86" s="1"/>
      <c r="G86" s="1"/>
      <c r="H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</row>
    <row r="87" spans="1:131" ht="17" x14ac:dyDescent="0.25">
      <c r="C87" s="1"/>
      <c r="D87" s="209" t="s">
        <v>187</v>
      </c>
      <c r="E87" s="210"/>
      <c r="F87" s="210"/>
      <c r="G87" s="210"/>
      <c r="H87" s="211"/>
      <c r="I87" s="9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</row>
    <row r="88" spans="1:131" ht="17" x14ac:dyDescent="0.25">
      <c r="C88" s="1"/>
      <c r="D88" s="203" t="s">
        <v>188</v>
      </c>
      <c r="E88" s="204"/>
      <c r="F88" s="204"/>
      <c r="G88" s="204"/>
      <c r="H88" s="205"/>
      <c r="I88" s="9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</row>
    <row r="89" spans="1:131" ht="17" x14ac:dyDescent="0.25">
      <c r="C89" s="1"/>
      <c r="D89" s="200" t="s">
        <v>189</v>
      </c>
      <c r="E89" s="201"/>
      <c r="F89" s="201"/>
      <c r="G89" s="201"/>
      <c r="H89" s="202"/>
      <c r="I89" s="99"/>
      <c r="J89" s="1"/>
      <c r="K89" s="1"/>
      <c r="L89" s="1"/>
      <c r="M89" s="1"/>
      <c r="N89" s="122"/>
      <c r="O89" s="99"/>
      <c r="P89" s="99"/>
      <c r="Q89" s="99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</row>
    <row r="90" spans="1:131" ht="17" x14ac:dyDescent="0.25">
      <c r="C90" s="1"/>
      <c r="D90" s="203" t="s">
        <v>190</v>
      </c>
      <c r="E90" s="204"/>
      <c r="F90" s="204"/>
      <c r="G90" s="204"/>
      <c r="H90" s="205"/>
      <c r="I90" s="99"/>
      <c r="J90" s="1"/>
      <c r="K90" s="1"/>
      <c r="L90" s="1"/>
      <c r="M90" s="1"/>
      <c r="N90" s="99"/>
      <c r="O90" s="99"/>
      <c r="P90" s="99"/>
      <c r="Q90" s="99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</row>
    <row r="91" spans="1:131" ht="17" x14ac:dyDescent="0.25">
      <c r="C91" s="1"/>
      <c r="D91" s="200" t="s">
        <v>191</v>
      </c>
      <c r="E91" s="201"/>
      <c r="F91" s="201"/>
      <c r="G91" s="201"/>
      <c r="H91" s="202"/>
      <c r="I91" s="99"/>
      <c r="J91" s="1"/>
      <c r="K91" s="1"/>
      <c r="L91" s="1"/>
      <c r="M91" s="1"/>
      <c r="N91" s="122"/>
      <c r="O91" s="122"/>
      <c r="P91" s="122"/>
      <c r="Q91" s="122"/>
      <c r="R91" s="12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</row>
    <row r="92" spans="1:131" ht="17" x14ac:dyDescent="0.25">
      <c r="B92" s="1"/>
      <c r="C92" s="1"/>
      <c r="D92" s="197" t="s">
        <v>192</v>
      </c>
      <c r="E92" s="198"/>
      <c r="F92" s="198"/>
      <c r="G92" s="198"/>
      <c r="H92" s="199"/>
      <c r="I92" s="1"/>
      <c r="J92" s="1"/>
      <c r="K92" s="1"/>
      <c r="L92" s="1"/>
      <c r="M92" s="1"/>
      <c r="N92" s="196" t="s">
        <v>183</v>
      </c>
      <c r="O92" s="196"/>
      <c r="P92" s="196"/>
      <c r="Q92" s="196"/>
      <c r="R92" s="99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</row>
    <row r="93" spans="1:131" ht="17" x14ac:dyDescent="0.25">
      <c r="A93" s="100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2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</row>
    <row r="94" spans="1:131" ht="17" x14ac:dyDescent="0.25">
      <c r="A94" s="113" t="s">
        <v>3</v>
      </c>
      <c r="B94" s="114" t="s">
        <v>4</v>
      </c>
      <c r="C94" s="114" t="s">
        <v>173</v>
      </c>
      <c r="D94" s="114" t="s">
        <v>174</v>
      </c>
      <c r="E94" s="115" t="s">
        <v>172</v>
      </c>
      <c r="F94" s="115" t="s">
        <v>186</v>
      </c>
      <c r="G94" s="115" t="s">
        <v>175</v>
      </c>
      <c r="H94" s="115" t="s">
        <v>177</v>
      </c>
      <c r="I94" s="115" t="s">
        <v>176</v>
      </c>
      <c r="J94" s="116" t="s">
        <v>178</v>
      </c>
      <c r="K94" s="1"/>
      <c r="L94" s="78" t="s">
        <v>179</v>
      </c>
      <c r="M94" s="1"/>
      <c r="N94" s="195" t="s">
        <v>180</v>
      </c>
      <c r="O94" s="195"/>
      <c r="P94" s="78" t="s">
        <v>181</v>
      </c>
      <c r="Q94" s="78" t="s">
        <v>182</v>
      </c>
      <c r="R94" s="99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</row>
    <row r="95" spans="1:131" ht="17" x14ac:dyDescent="0.25">
      <c r="A95" s="117" t="s">
        <v>12</v>
      </c>
      <c r="B95" s="8" t="s">
        <v>10</v>
      </c>
      <c r="C95" s="87">
        <f xml:space="preserve"> AVERAGEIFS('1_Datos'!E:E, '1_Datos'!B:B, A95, '1_Datos'!C:C, B95)</f>
        <v>89.685000000000002</v>
      </c>
      <c r="D95" s="87">
        <f>0.65*C95</f>
        <v>58.295250000000003</v>
      </c>
      <c r="E95" s="127">
        <v>120</v>
      </c>
      <c r="F95" s="127">
        <v>90</v>
      </c>
      <c r="G95" s="111">
        <f>Tbl_Restricciones[[#This Row],[Precio unitario (€)]]-Tbl_Restricciones[[#This Row],[Coste unitario (€)]]</f>
        <v>31.389749999999999</v>
      </c>
      <c r="H95" s="112">
        <v>0</v>
      </c>
      <c r="I95" s="111">
        <f>Tbl_Restricciones[[#This Row],[Unidades pedidas]]*Tbl_Restricciones[[#This Row],[Beneficio unitario (€)]]</f>
        <v>3766.77</v>
      </c>
      <c r="J95" s="132">
        <f>Tbl_Restricciones[[#This Row],[Beneficio unitario (€)]]*Tbl_Restricciones[[#This Row],[Unidades a exportar]]</f>
        <v>0</v>
      </c>
      <c r="K95" s="1"/>
      <c r="L95" s="131">
        <f>SUM(Tbl_Restricciones[Beneficio real (€)])</f>
        <v>917885.09516666643</v>
      </c>
      <c r="M95" s="1"/>
      <c r="N95" s="89" t="s">
        <v>12</v>
      </c>
      <c r="O95" s="94">
        <f>SUMIF(Tbl_Restricciones[Producto], N95, Tbl_Restricciones[Unidades a exportar])</f>
        <v>890</v>
      </c>
      <c r="P95" s="85">
        <f>SUMIF(Tbl_Restricciones[Producto], N95, Tbl_Restricciones[Cantidad máxima])</f>
        <v>890</v>
      </c>
      <c r="Q95" s="96">
        <f>O95/P95</f>
        <v>1</v>
      </c>
      <c r="R95" s="12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</row>
    <row r="96" spans="1:131" ht="17" x14ac:dyDescent="0.25">
      <c r="A96" s="117" t="s">
        <v>12</v>
      </c>
      <c r="B96" s="8" t="s">
        <v>18</v>
      </c>
      <c r="C96" s="87">
        <f xml:space="preserve"> AVERAGEIFS('1_Datos'!E:E, '1_Datos'!B:B, A96, '1_Datos'!C:C, B96)</f>
        <v>151.83666666666667</v>
      </c>
      <c r="D96" s="87">
        <f t="shared" ref="D96:D159" si="3">0.65*C96</f>
        <v>98.693833333333345</v>
      </c>
      <c r="E96" s="127">
        <v>110</v>
      </c>
      <c r="F96" s="127">
        <v>80</v>
      </c>
      <c r="G96" s="88">
        <f>Tbl_Restricciones[[#This Row],[Precio unitario (€)]]-Tbl_Restricciones[[#This Row],[Coste unitario (€)]]</f>
        <v>53.142833333333328</v>
      </c>
      <c r="H96" s="93">
        <v>110</v>
      </c>
      <c r="I96" s="88">
        <f>Tbl_Restricciones[[#This Row],[Unidades pedidas]]*Tbl_Restricciones[[#This Row],[Beneficio unitario (€)]]</f>
        <v>5845.7116666666661</v>
      </c>
      <c r="J96" s="133">
        <f>Tbl_Restricciones[[#This Row],[Beneficio unitario (€)]]*Tbl_Restricciones[[#This Row],[Unidades a exportar]]</f>
        <v>5845.7116666666661</v>
      </c>
      <c r="K96" s="1"/>
      <c r="L96" s="1"/>
      <c r="M96" s="1"/>
      <c r="N96" s="90" t="s">
        <v>7</v>
      </c>
      <c r="O96" s="94">
        <f>SUMIF(Tbl_Restricciones[Producto], N96, Tbl_Restricciones[Unidades a exportar])</f>
        <v>845</v>
      </c>
      <c r="P96" s="85">
        <f>SUMIF(Tbl_Restricciones[Producto], N96, Tbl_Restricciones[Cantidad máxima])</f>
        <v>845</v>
      </c>
      <c r="Q96" s="97">
        <f t="shared" ref="Q96:Q102" si="4">O96/P96</f>
        <v>1</v>
      </c>
      <c r="R96" s="99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</row>
    <row r="97" spans="1:131" ht="17" x14ac:dyDescent="0.25">
      <c r="A97" s="117" t="s">
        <v>12</v>
      </c>
      <c r="B97" s="8" t="s">
        <v>20</v>
      </c>
      <c r="C97" s="87">
        <f xml:space="preserve"> AVERAGEIFS('1_Datos'!E:E, '1_Datos'!B:B, A97, '1_Datos'!C:C, B97)</f>
        <v>131.125</v>
      </c>
      <c r="D97" s="87">
        <f t="shared" si="3"/>
        <v>85.231250000000003</v>
      </c>
      <c r="E97" s="127">
        <v>115</v>
      </c>
      <c r="F97" s="127">
        <v>100</v>
      </c>
      <c r="G97" s="111">
        <f>Tbl_Restricciones[[#This Row],[Precio unitario (€)]]-Tbl_Restricciones[[#This Row],[Coste unitario (€)]]</f>
        <v>45.893749999999997</v>
      </c>
      <c r="H97" s="112">
        <v>115</v>
      </c>
      <c r="I97" s="111">
        <f>Tbl_Restricciones[[#This Row],[Unidades pedidas]]*Tbl_Restricciones[[#This Row],[Beneficio unitario (€)]]</f>
        <v>5277.78125</v>
      </c>
      <c r="J97" s="132">
        <f>Tbl_Restricciones[[#This Row],[Beneficio unitario (€)]]*Tbl_Restricciones[[#This Row],[Unidades a exportar]]</f>
        <v>5277.78125</v>
      </c>
      <c r="K97" s="1"/>
      <c r="L97" s="1"/>
      <c r="M97" s="1"/>
      <c r="N97" s="90" t="s">
        <v>17</v>
      </c>
      <c r="O97" s="94">
        <f>SUMIF(Tbl_Restricciones[Producto], N97, Tbl_Restricciones[Unidades a exportar])</f>
        <v>665</v>
      </c>
      <c r="P97" s="85">
        <f>SUMIF(Tbl_Restricciones[Producto], N97, Tbl_Restricciones[Cantidad máxima])</f>
        <v>665</v>
      </c>
      <c r="Q97" s="97">
        <f t="shared" si="4"/>
        <v>1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</row>
    <row r="98" spans="1:131" ht="17" x14ac:dyDescent="0.25">
      <c r="A98" s="117" t="s">
        <v>12</v>
      </c>
      <c r="B98" s="8" t="s">
        <v>13</v>
      </c>
      <c r="C98" s="87">
        <f xml:space="preserve"> AVERAGEIFS('1_Datos'!E:E, '1_Datos'!B:B, A98, '1_Datos'!C:C, B98)</f>
        <v>192.89</v>
      </c>
      <c r="D98" s="87">
        <f t="shared" si="3"/>
        <v>125.3785</v>
      </c>
      <c r="E98" s="127">
        <v>130</v>
      </c>
      <c r="F98" s="127">
        <v>120</v>
      </c>
      <c r="G98" s="88">
        <f>Tbl_Restricciones[[#This Row],[Precio unitario (€)]]-Tbl_Restricciones[[#This Row],[Coste unitario (€)]]</f>
        <v>67.511499999999984</v>
      </c>
      <c r="H98" s="93">
        <v>130</v>
      </c>
      <c r="I98" s="88">
        <f>Tbl_Restricciones[[#This Row],[Unidades pedidas]]*Tbl_Restricciones[[#This Row],[Beneficio unitario (€)]]</f>
        <v>8776.4949999999972</v>
      </c>
      <c r="J98" s="133">
        <f>Tbl_Restricciones[[#This Row],[Beneficio unitario (€)]]*Tbl_Restricciones[[#This Row],[Unidades a exportar]]</f>
        <v>8776.4949999999972</v>
      </c>
      <c r="K98" s="1"/>
      <c r="L98" s="1"/>
      <c r="M98" s="1"/>
      <c r="N98" s="90" t="s">
        <v>24</v>
      </c>
      <c r="O98" s="94">
        <f>SUMIF(Tbl_Restricciones[Producto], N98, Tbl_Restricciones[Unidades a exportar])</f>
        <v>435</v>
      </c>
      <c r="P98" s="85">
        <f>SUMIF(Tbl_Restricciones[Producto], N98, Tbl_Restricciones[Cantidad máxima])</f>
        <v>435</v>
      </c>
      <c r="Q98" s="97">
        <f t="shared" si="4"/>
        <v>1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</row>
    <row r="99" spans="1:131" ht="17" x14ac:dyDescent="0.25">
      <c r="A99" s="117" t="s">
        <v>12</v>
      </c>
      <c r="B99" s="8" t="s">
        <v>16</v>
      </c>
      <c r="C99" s="87">
        <f xml:space="preserve"> AVERAGEIFS('1_Datos'!E:E, '1_Datos'!B:B, A99, '1_Datos'!C:C, B99)</f>
        <v>157.11249999999998</v>
      </c>
      <c r="D99" s="87">
        <f t="shared" si="3"/>
        <v>102.12312499999999</v>
      </c>
      <c r="E99" s="127">
        <v>125</v>
      </c>
      <c r="F99" s="127">
        <v>100</v>
      </c>
      <c r="G99" s="111">
        <f>Tbl_Restricciones[[#This Row],[Precio unitario (€)]]-Tbl_Restricciones[[#This Row],[Coste unitario (€)]]</f>
        <v>54.989374999999995</v>
      </c>
      <c r="H99" s="112">
        <v>125</v>
      </c>
      <c r="I99" s="111">
        <f>Tbl_Restricciones[[#This Row],[Unidades pedidas]]*Tbl_Restricciones[[#This Row],[Beneficio unitario (€)]]</f>
        <v>6873.6718749999991</v>
      </c>
      <c r="J99" s="132">
        <f>Tbl_Restricciones[[#This Row],[Beneficio unitario (€)]]*Tbl_Restricciones[[#This Row],[Unidades a exportar]]</f>
        <v>6873.6718749999991</v>
      </c>
      <c r="K99" s="1"/>
      <c r="L99" s="1"/>
      <c r="M99" s="1"/>
      <c r="N99" s="90" t="s">
        <v>15</v>
      </c>
      <c r="O99" s="94">
        <f>SUMIF(Tbl_Restricciones[Producto], N99, Tbl_Restricciones[Unidades a exportar])</f>
        <v>3890</v>
      </c>
      <c r="P99" s="85">
        <f>SUMIF(Tbl_Restricciones[Producto], N99, Tbl_Restricciones[Cantidad máxima])</f>
        <v>3890</v>
      </c>
      <c r="Q99" s="97">
        <f t="shared" si="4"/>
        <v>1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</row>
    <row r="100" spans="1:131" ht="17" x14ac:dyDescent="0.25">
      <c r="A100" s="117" t="s">
        <v>12</v>
      </c>
      <c r="B100" s="8" t="s">
        <v>8</v>
      </c>
      <c r="C100" s="87">
        <f xml:space="preserve"> AVERAGEIFS('1_Datos'!E:E, '1_Datos'!B:B, A100, '1_Datos'!C:C, B100)</f>
        <v>84.2</v>
      </c>
      <c r="D100" s="87">
        <f t="shared" si="3"/>
        <v>54.730000000000004</v>
      </c>
      <c r="E100" s="127">
        <v>100</v>
      </c>
      <c r="F100" s="127">
        <v>75</v>
      </c>
      <c r="G100" s="88">
        <f>Tbl_Restricciones[[#This Row],[Precio unitario (€)]]-Tbl_Restricciones[[#This Row],[Coste unitario (€)]]</f>
        <v>29.47</v>
      </c>
      <c r="H100" s="93">
        <v>0</v>
      </c>
      <c r="I100" s="88">
        <f>Tbl_Restricciones[[#This Row],[Unidades pedidas]]*Tbl_Restricciones[[#This Row],[Beneficio unitario (€)]]</f>
        <v>2947</v>
      </c>
      <c r="J100" s="133">
        <f>Tbl_Restricciones[[#This Row],[Beneficio unitario (€)]]*Tbl_Restricciones[[#This Row],[Unidades a exportar]]</f>
        <v>0</v>
      </c>
      <c r="K100" s="1"/>
      <c r="L100" s="1"/>
      <c r="M100" s="1"/>
      <c r="N100" s="90" t="s">
        <v>9</v>
      </c>
      <c r="O100" s="94">
        <f>SUMIF(Tbl_Restricciones[Producto], N100, Tbl_Restricciones[Unidades a exportar])</f>
        <v>3690</v>
      </c>
      <c r="P100" s="85">
        <f>SUMIF(Tbl_Restricciones[Producto], N100, Tbl_Restricciones[Cantidad máxima])</f>
        <v>3690</v>
      </c>
      <c r="Q100" s="97">
        <f t="shared" si="4"/>
        <v>1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</row>
    <row r="101" spans="1:131" ht="17" x14ac:dyDescent="0.25">
      <c r="A101" s="117" t="s">
        <v>12</v>
      </c>
      <c r="B101" s="8" t="s">
        <v>14</v>
      </c>
      <c r="C101" s="87">
        <f xml:space="preserve"> AVERAGEIFS('1_Datos'!E:E, '1_Datos'!B:B, A101, '1_Datos'!C:C, B101)</f>
        <v>123.43</v>
      </c>
      <c r="D101" s="87">
        <f t="shared" si="3"/>
        <v>80.229500000000002</v>
      </c>
      <c r="E101" s="127">
        <v>110</v>
      </c>
      <c r="F101" s="127">
        <v>85</v>
      </c>
      <c r="G101" s="111">
        <f>Tbl_Restricciones[[#This Row],[Precio unitario (€)]]-Tbl_Restricciones[[#This Row],[Coste unitario (€)]]</f>
        <v>43.200500000000005</v>
      </c>
      <c r="H101" s="112">
        <v>110</v>
      </c>
      <c r="I101" s="111">
        <f>Tbl_Restricciones[[#This Row],[Unidades pedidas]]*Tbl_Restricciones[[#This Row],[Beneficio unitario (€)]]</f>
        <v>4752.0550000000003</v>
      </c>
      <c r="J101" s="132">
        <f>Tbl_Restricciones[[#This Row],[Beneficio unitario (€)]]*Tbl_Restricciones[[#This Row],[Unidades a exportar]]</f>
        <v>4752.0550000000003</v>
      </c>
      <c r="K101" s="1"/>
      <c r="L101" s="1"/>
      <c r="M101" s="1"/>
      <c r="N101" s="90" t="s">
        <v>22</v>
      </c>
      <c r="O101" s="94">
        <f>SUMIF(Tbl_Restricciones[Producto], N101, Tbl_Restricciones[Unidades a exportar])</f>
        <v>3575</v>
      </c>
      <c r="P101" s="85">
        <f>SUMIF(Tbl_Restricciones[Producto], N101, Tbl_Restricciones[Cantidad máxima])</f>
        <v>3575</v>
      </c>
      <c r="Q101" s="97">
        <f t="shared" si="4"/>
        <v>1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</row>
    <row r="102" spans="1:131" ht="17" x14ac:dyDescent="0.25">
      <c r="A102" s="117" t="s">
        <v>12</v>
      </c>
      <c r="B102" s="8" t="s">
        <v>19</v>
      </c>
      <c r="C102" s="87">
        <f xml:space="preserve"> AVERAGEIFS('1_Datos'!E:E, '1_Datos'!B:B, A102, '1_Datos'!C:C, B102)</f>
        <v>128.12</v>
      </c>
      <c r="D102" s="87">
        <f t="shared" si="3"/>
        <v>83.278000000000006</v>
      </c>
      <c r="E102" s="127">
        <v>115</v>
      </c>
      <c r="F102" s="127">
        <v>90</v>
      </c>
      <c r="G102" s="88">
        <f>Tbl_Restricciones[[#This Row],[Precio unitario (€)]]-Tbl_Restricciones[[#This Row],[Coste unitario (€)]]</f>
        <v>44.841999999999999</v>
      </c>
      <c r="H102" s="93">
        <v>115</v>
      </c>
      <c r="I102" s="88">
        <f>Tbl_Restricciones[[#This Row],[Unidades pedidas]]*Tbl_Restricciones[[#This Row],[Beneficio unitario (€)]]</f>
        <v>5156.83</v>
      </c>
      <c r="J102" s="133">
        <f>Tbl_Restricciones[[#This Row],[Beneficio unitario (€)]]*Tbl_Restricciones[[#This Row],[Unidades a exportar]]</f>
        <v>5156.83</v>
      </c>
      <c r="K102" s="1"/>
      <c r="L102" s="1"/>
      <c r="M102" s="1"/>
      <c r="N102" s="91" t="s">
        <v>23</v>
      </c>
      <c r="O102" s="95">
        <f>SUMIF(Tbl_Restricciones[Producto], N102, Tbl_Restricciones[Unidades a exportar])</f>
        <v>3415</v>
      </c>
      <c r="P102" s="92">
        <f>SUMIF(Tbl_Restricciones[Producto], N102, Tbl_Restricciones[Cantidad máxima])</f>
        <v>3415</v>
      </c>
      <c r="Q102" s="98">
        <f t="shared" si="4"/>
        <v>1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</row>
    <row r="103" spans="1:131" ht="17" x14ac:dyDescent="0.25">
      <c r="A103" s="117" t="s">
        <v>12</v>
      </c>
      <c r="B103" s="8" t="s">
        <v>21</v>
      </c>
      <c r="C103" s="87">
        <f xml:space="preserve"> AVERAGEIFS('1_Datos'!E:E, '1_Datos'!B:B, A103, '1_Datos'!C:C, B103)</f>
        <v>223.69</v>
      </c>
      <c r="D103" s="87">
        <f t="shared" si="3"/>
        <v>145.39850000000001</v>
      </c>
      <c r="E103" s="127">
        <v>100</v>
      </c>
      <c r="F103" s="127">
        <v>80</v>
      </c>
      <c r="G103" s="111">
        <f>Tbl_Restricciones[[#This Row],[Precio unitario (€)]]-Tbl_Restricciones[[#This Row],[Coste unitario (€)]]</f>
        <v>78.291499999999985</v>
      </c>
      <c r="H103" s="112">
        <v>100</v>
      </c>
      <c r="I103" s="111">
        <f>Tbl_Restricciones[[#This Row],[Unidades pedidas]]*Tbl_Restricciones[[#This Row],[Beneficio unitario (€)]]</f>
        <v>7829.1499999999987</v>
      </c>
      <c r="J103" s="132">
        <f>Tbl_Restricciones[[#This Row],[Beneficio unitario (€)]]*Tbl_Restricciones[[#This Row],[Unidades a exportar]]</f>
        <v>7829.1499999999987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 spans="1:131" ht="17" x14ac:dyDescent="0.25">
      <c r="A104" s="117" t="s">
        <v>12</v>
      </c>
      <c r="B104" s="8" t="s">
        <v>11</v>
      </c>
      <c r="C104" s="87">
        <f xml:space="preserve"> AVERAGEIFS('1_Datos'!E:E, '1_Datos'!B:B, A104, '1_Datos'!C:C, B104)</f>
        <v>122.89999999999999</v>
      </c>
      <c r="D104" s="87">
        <f t="shared" si="3"/>
        <v>79.884999999999991</v>
      </c>
      <c r="E104" s="127">
        <v>95</v>
      </c>
      <c r="F104" s="127">
        <v>70</v>
      </c>
      <c r="G104" s="88">
        <f>Tbl_Restricciones[[#This Row],[Precio unitario (€)]]-Tbl_Restricciones[[#This Row],[Coste unitario (€)]]</f>
        <v>43.015000000000001</v>
      </c>
      <c r="H104" s="93">
        <v>85</v>
      </c>
      <c r="I104" s="88">
        <f>Tbl_Restricciones[[#This Row],[Unidades pedidas]]*Tbl_Restricciones[[#This Row],[Beneficio unitario (€)]]</f>
        <v>4086.4250000000002</v>
      </c>
      <c r="J104" s="133">
        <f>Tbl_Restricciones[[#This Row],[Beneficio unitario (€)]]*Tbl_Restricciones[[#This Row],[Unidades a exportar]]</f>
        <v>3656.2750000000001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</row>
    <row r="105" spans="1:131" ht="17" x14ac:dyDescent="0.25">
      <c r="A105" s="117" t="s">
        <v>7</v>
      </c>
      <c r="B105" s="8" t="s">
        <v>10</v>
      </c>
      <c r="C105" s="87">
        <f xml:space="preserve"> AVERAGEIFS('1_Datos'!E:E, '1_Datos'!B:B, A105, '1_Datos'!C:C, B105)</f>
        <v>160.595</v>
      </c>
      <c r="D105" s="87">
        <f t="shared" si="3"/>
        <v>104.38675000000001</v>
      </c>
      <c r="E105" s="127">
        <v>100</v>
      </c>
      <c r="F105" s="127">
        <v>80</v>
      </c>
      <c r="G105" s="111">
        <f>Tbl_Restricciones[[#This Row],[Precio unitario (€)]]-Tbl_Restricciones[[#This Row],[Coste unitario (€)]]</f>
        <v>56.208249999999992</v>
      </c>
      <c r="H105" s="112">
        <v>100</v>
      </c>
      <c r="I105" s="111">
        <f>Tbl_Restricciones[[#This Row],[Unidades pedidas]]*Tbl_Restricciones[[#This Row],[Beneficio unitario (€)]]</f>
        <v>5620.8249999999989</v>
      </c>
      <c r="J105" s="132">
        <f>Tbl_Restricciones[[#This Row],[Beneficio unitario (€)]]*Tbl_Restricciones[[#This Row],[Unidades a exportar]]</f>
        <v>5620.8249999999989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</row>
    <row r="106" spans="1:131" ht="17" x14ac:dyDescent="0.25">
      <c r="A106" s="117" t="s">
        <v>7</v>
      </c>
      <c r="B106" s="8" t="s">
        <v>18</v>
      </c>
      <c r="C106" s="87">
        <f xml:space="preserve"> AVERAGEIFS('1_Datos'!E:E, '1_Datos'!B:B, A106, '1_Datos'!C:C, B106)</f>
        <v>186.95</v>
      </c>
      <c r="D106" s="87">
        <f t="shared" si="3"/>
        <v>121.5175</v>
      </c>
      <c r="E106" s="127">
        <v>105</v>
      </c>
      <c r="F106" s="127">
        <v>85</v>
      </c>
      <c r="G106" s="88">
        <f>Tbl_Restricciones[[#This Row],[Precio unitario (€)]]-Tbl_Restricciones[[#This Row],[Coste unitario (€)]]</f>
        <v>65.43249999999999</v>
      </c>
      <c r="H106" s="93">
        <v>105</v>
      </c>
      <c r="I106" s="88">
        <f>Tbl_Restricciones[[#This Row],[Unidades pedidas]]*Tbl_Restricciones[[#This Row],[Beneficio unitario (€)]]</f>
        <v>6870.4124999999985</v>
      </c>
      <c r="J106" s="133">
        <f>Tbl_Restricciones[[#This Row],[Beneficio unitario (€)]]*Tbl_Restricciones[[#This Row],[Unidades a exportar]]</f>
        <v>6870.4124999999985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</row>
    <row r="107" spans="1:131" ht="17" x14ac:dyDescent="0.25">
      <c r="A107" s="117" t="s">
        <v>7</v>
      </c>
      <c r="B107" s="8" t="s">
        <v>20</v>
      </c>
      <c r="C107" s="87">
        <f xml:space="preserve"> AVERAGEIFS('1_Datos'!E:E, '1_Datos'!B:B, A107, '1_Datos'!C:C, B107)</f>
        <v>73.77</v>
      </c>
      <c r="D107" s="87">
        <f t="shared" si="3"/>
        <v>47.950499999999998</v>
      </c>
      <c r="E107" s="127">
        <v>90</v>
      </c>
      <c r="F107" s="127">
        <v>70</v>
      </c>
      <c r="G107" s="111">
        <f>Tbl_Restricciones[[#This Row],[Precio unitario (€)]]-Tbl_Restricciones[[#This Row],[Coste unitario (€)]]</f>
        <v>25.819499999999998</v>
      </c>
      <c r="H107" s="112">
        <v>0</v>
      </c>
      <c r="I107" s="111">
        <f>Tbl_Restricciones[[#This Row],[Unidades pedidas]]*Tbl_Restricciones[[#This Row],[Beneficio unitario (€)]]</f>
        <v>2323.7549999999997</v>
      </c>
      <c r="J107" s="132">
        <f>Tbl_Restricciones[[#This Row],[Beneficio unitario (€)]]*Tbl_Restricciones[[#This Row],[Unidades a exportar]]</f>
        <v>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</row>
    <row r="108" spans="1:131" ht="17" x14ac:dyDescent="0.25">
      <c r="A108" s="117" t="s">
        <v>7</v>
      </c>
      <c r="B108" s="8" t="s">
        <v>13</v>
      </c>
      <c r="C108" s="87">
        <f xml:space="preserve"> AVERAGEIFS('1_Datos'!E:E, '1_Datos'!B:B, A108, '1_Datos'!C:C, B108)</f>
        <v>162.52666666666667</v>
      </c>
      <c r="D108" s="87">
        <f t="shared" si="3"/>
        <v>105.64233333333334</v>
      </c>
      <c r="E108" s="127">
        <v>115</v>
      </c>
      <c r="F108" s="127">
        <v>95</v>
      </c>
      <c r="G108" s="88">
        <f>Tbl_Restricciones[[#This Row],[Precio unitario (€)]]-Tbl_Restricciones[[#This Row],[Coste unitario (€)]]</f>
        <v>56.884333333333331</v>
      </c>
      <c r="H108" s="93">
        <v>115</v>
      </c>
      <c r="I108" s="88">
        <f>Tbl_Restricciones[[#This Row],[Unidades pedidas]]*Tbl_Restricciones[[#This Row],[Beneficio unitario (€)]]</f>
        <v>6541.6983333333328</v>
      </c>
      <c r="J108" s="133">
        <f>Tbl_Restricciones[[#This Row],[Beneficio unitario (€)]]*Tbl_Restricciones[[#This Row],[Unidades a exportar]]</f>
        <v>6541.6983333333328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</row>
    <row r="109" spans="1:131" ht="17" x14ac:dyDescent="0.25">
      <c r="A109" s="117" t="s">
        <v>7</v>
      </c>
      <c r="B109" s="8" t="s">
        <v>16</v>
      </c>
      <c r="C109" s="87">
        <f xml:space="preserve"> AVERAGEIFS('1_Datos'!E:E, '1_Datos'!B:B, A109, '1_Datos'!C:C, B109)</f>
        <v>106.71</v>
      </c>
      <c r="D109" s="87">
        <f t="shared" si="3"/>
        <v>69.361499999999992</v>
      </c>
      <c r="E109" s="127">
        <v>100</v>
      </c>
      <c r="F109" s="127">
        <v>85</v>
      </c>
      <c r="G109" s="111">
        <f>Tbl_Restricciones[[#This Row],[Precio unitario (€)]]-Tbl_Restricciones[[#This Row],[Coste unitario (€)]]</f>
        <v>37.348500000000001</v>
      </c>
      <c r="H109" s="112">
        <v>0</v>
      </c>
      <c r="I109" s="111">
        <f>Tbl_Restricciones[[#This Row],[Unidades pedidas]]*Tbl_Restricciones[[#This Row],[Beneficio unitario (€)]]</f>
        <v>3734.8500000000004</v>
      </c>
      <c r="J109" s="132">
        <f>Tbl_Restricciones[[#This Row],[Beneficio unitario (€)]]*Tbl_Restricciones[[#This Row],[Unidades a exportar]]</f>
        <v>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</row>
    <row r="110" spans="1:131" ht="17" x14ac:dyDescent="0.25">
      <c r="A110" s="117" t="s">
        <v>7</v>
      </c>
      <c r="B110" s="8" t="s">
        <v>8</v>
      </c>
      <c r="C110" s="87">
        <f xml:space="preserve"> AVERAGEIFS('1_Datos'!E:E, '1_Datos'!B:B, A110, '1_Datos'!C:C, B110)</f>
        <v>243.27</v>
      </c>
      <c r="D110" s="87">
        <f t="shared" si="3"/>
        <v>158.12550000000002</v>
      </c>
      <c r="E110" s="127">
        <v>125</v>
      </c>
      <c r="F110" s="127">
        <v>100</v>
      </c>
      <c r="G110" s="88">
        <f>Tbl_Restricciones[[#This Row],[Precio unitario (€)]]-Tbl_Restricciones[[#This Row],[Coste unitario (€)]]</f>
        <v>85.144499999999994</v>
      </c>
      <c r="H110" s="93">
        <v>125</v>
      </c>
      <c r="I110" s="88">
        <f>Tbl_Restricciones[[#This Row],[Unidades pedidas]]*Tbl_Restricciones[[#This Row],[Beneficio unitario (€)]]</f>
        <v>10643.0625</v>
      </c>
      <c r="J110" s="133">
        <f>Tbl_Restricciones[[#This Row],[Beneficio unitario (€)]]*Tbl_Restricciones[[#This Row],[Unidades a exportar]]</f>
        <v>10643.0625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</row>
    <row r="111" spans="1:131" ht="17" x14ac:dyDescent="0.25">
      <c r="A111" s="117" t="s">
        <v>7</v>
      </c>
      <c r="B111" s="8" t="s">
        <v>14</v>
      </c>
      <c r="C111" s="87">
        <f xml:space="preserve"> AVERAGEIFS('1_Datos'!E:E, '1_Datos'!B:B, A111, '1_Datos'!C:C, B111)</f>
        <v>146.47333333333333</v>
      </c>
      <c r="D111" s="87">
        <f t="shared" si="3"/>
        <v>95.207666666666668</v>
      </c>
      <c r="E111" s="127">
        <v>115</v>
      </c>
      <c r="F111" s="127">
        <v>90</v>
      </c>
      <c r="G111" s="111">
        <f>Tbl_Restricciones[[#This Row],[Precio unitario (€)]]-Tbl_Restricciones[[#This Row],[Coste unitario (€)]]</f>
        <v>51.265666666666661</v>
      </c>
      <c r="H111" s="112">
        <v>100</v>
      </c>
      <c r="I111" s="111">
        <f>Tbl_Restricciones[[#This Row],[Unidades pedidas]]*Tbl_Restricciones[[#This Row],[Beneficio unitario (€)]]</f>
        <v>5895.5516666666663</v>
      </c>
      <c r="J111" s="132">
        <f>Tbl_Restricciones[[#This Row],[Beneficio unitario (€)]]*Tbl_Restricciones[[#This Row],[Unidades a exportar]]</f>
        <v>5126.5666666666657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</row>
    <row r="112" spans="1:131" ht="17" x14ac:dyDescent="0.25">
      <c r="A112" s="117" t="s">
        <v>7</v>
      </c>
      <c r="B112" s="8" t="s">
        <v>19</v>
      </c>
      <c r="C112" s="87">
        <f xml:space="preserve"> AVERAGEIFS('1_Datos'!E:E, '1_Datos'!B:B, A112, '1_Datos'!C:C, B112)</f>
        <v>155.09333333333333</v>
      </c>
      <c r="D112" s="87">
        <f t="shared" si="3"/>
        <v>100.81066666666668</v>
      </c>
      <c r="E112" s="127">
        <v>110</v>
      </c>
      <c r="F112" s="127">
        <v>85</v>
      </c>
      <c r="G112" s="88">
        <f>Tbl_Restricciones[[#This Row],[Precio unitario (€)]]-Tbl_Restricciones[[#This Row],[Coste unitario (€)]]</f>
        <v>54.282666666666657</v>
      </c>
      <c r="H112" s="93">
        <v>110</v>
      </c>
      <c r="I112" s="88">
        <f>Tbl_Restricciones[[#This Row],[Unidades pedidas]]*Tbl_Restricciones[[#This Row],[Beneficio unitario (€)]]</f>
        <v>5971.0933333333323</v>
      </c>
      <c r="J112" s="133">
        <f>Tbl_Restricciones[[#This Row],[Beneficio unitario (€)]]*Tbl_Restricciones[[#This Row],[Unidades a exportar]]</f>
        <v>5971.0933333333323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</row>
    <row r="113" spans="1:131" ht="17" x14ac:dyDescent="0.25">
      <c r="A113" s="117" t="s">
        <v>7</v>
      </c>
      <c r="B113" s="8" t="s">
        <v>21</v>
      </c>
      <c r="C113" s="87">
        <f xml:space="preserve"> AVERAGEIFS('1_Datos'!E:E, '1_Datos'!B:B, A113, '1_Datos'!C:C, B113)</f>
        <v>211.27999999999997</v>
      </c>
      <c r="D113" s="87">
        <f t="shared" si="3"/>
        <v>137.33199999999999</v>
      </c>
      <c r="E113" s="127">
        <v>90</v>
      </c>
      <c r="F113" s="127">
        <v>70</v>
      </c>
      <c r="G113" s="111">
        <f>Tbl_Restricciones[[#This Row],[Precio unitario (€)]]-Tbl_Restricciones[[#This Row],[Coste unitario (€)]]</f>
        <v>73.947999999999979</v>
      </c>
      <c r="H113" s="112">
        <v>90</v>
      </c>
      <c r="I113" s="111">
        <f>Tbl_Restricciones[[#This Row],[Unidades pedidas]]*Tbl_Restricciones[[#This Row],[Beneficio unitario (€)]]</f>
        <v>6655.3199999999979</v>
      </c>
      <c r="J113" s="132">
        <f>Tbl_Restricciones[[#This Row],[Beneficio unitario (€)]]*Tbl_Restricciones[[#This Row],[Unidades a exportar]]</f>
        <v>6655.3199999999979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</row>
    <row r="114" spans="1:131" ht="17" x14ac:dyDescent="0.25">
      <c r="A114" s="117" t="s">
        <v>7</v>
      </c>
      <c r="B114" s="8" t="s">
        <v>11</v>
      </c>
      <c r="C114" s="87">
        <f xml:space="preserve"> AVERAGEIFS('1_Datos'!E:E, '1_Datos'!B:B, A114, '1_Datos'!C:C, B114)</f>
        <v>194.19666666666663</v>
      </c>
      <c r="D114" s="87">
        <f t="shared" si="3"/>
        <v>126.22783333333331</v>
      </c>
      <c r="E114" s="127">
        <v>100</v>
      </c>
      <c r="F114" s="127">
        <v>85</v>
      </c>
      <c r="G114" s="88">
        <f>Tbl_Restricciones[[#This Row],[Precio unitario (€)]]-Tbl_Restricciones[[#This Row],[Coste unitario (€)]]</f>
        <v>67.968833333333322</v>
      </c>
      <c r="H114" s="93">
        <v>100</v>
      </c>
      <c r="I114" s="88">
        <f>Tbl_Restricciones[[#This Row],[Unidades pedidas]]*Tbl_Restricciones[[#This Row],[Beneficio unitario (€)]]</f>
        <v>6796.8833333333323</v>
      </c>
      <c r="J114" s="133">
        <f>Tbl_Restricciones[[#This Row],[Beneficio unitario (€)]]*Tbl_Restricciones[[#This Row],[Unidades a exportar]]</f>
        <v>6796.8833333333323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</row>
    <row r="115" spans="1:131" ht="17" x14ac:dyDescent="0.25">
      <c r="A115" s="117" t="s">
        <v>17</v>
      </c>
      <c r="B115" s="8" t="s">
        <v>10</v>
      </c>
      <c r="C115" s="87">
        <f xml:space="preserve"> AVERAGEIFS('1_Datos'!E:E, '1_Datos'!B:B, A115, '1_Datos'!C:C, B115)</f>
        <v>160.34</v>
      </c>
      <c r="D115" s="87">
        <f t="shared" si="3"/>
        <v>104.221</v>
      </c>
      <c r="E115" s="127">
        <v>100</v>
      </c>
      <c r="F115" s="127">
        <v>80</v>
      </c>
      <c r="G115" s="111">
        <f>Tbl_Restricciones[[#This Row],[Precio unitario (€)]]-Tbl_Restricciones[[#This Row],[Coste unitario (€)]]</f>
        <v>56.119</v>
      </c>
      <c r="H115" s="112">
        <v>100</v>
      </c>
      <c r="I115" s="111">
        <f>Tbl_Restricciones[[#This Row],[Unidades pedidas]]*Tbl_Restricciones[[#This Row],[Beneficio unitario (€)]]</f>
        <v>5611.9</v>
      </c>
      <c r="J115" s="132">
        <f>Tbl_Restricciones[[#This Row],[Beneficio unitario (€)]]*Tbl_Restricciones[[#This Row],[Unidades a exportar]]</f>
        <v>5611.9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</row>
    <row r="116" spans="1:131" ht="17" x14ac:dyDescent="0.25">
      <c r="A116" s="117" t="s">
        <v>17</v>
      </c>
      <c r="B116" s="8" t="s">
        <v>18</v>
      </c>
      <c r="C116" s="87">
        <f xml:space="preserve"> AVERAGEIFS('1_Datos'!E:E, '1_Datos'!B:B, A116, '1_Datos'!C:C, B116)</f>
        <v>150.47333333333333</v>
      </c>
      <c r="D116" s="87">
        <f t="shared" si="3"/>
        <v>97.807666666666663</v>
      </c>
      <c r="E116" s="127">
        <v>95</v>
      </c>
      <c r="F116" s="127">
        <v>70</v>
      </c>
      <c r="G116" s="88">
        <f>Tbl_Restricciones[[#This Row],[Precio unitario (€)]]-Tbl_Restricciones[[#This Row],[Coste unitario (€)]]</f>
        <v>52.665666666666667</v>
      </c>
      <c r="H116" s="93">
        <v>95</v>
      </c>
      <c r="I116" s="88">
        <f>Tbl_Restricciones[[#This Row],[Unidades pedidas]]*Tbl_Restricciones[[#This Row],[Beneficio unitario (€)]]</f>
        <v>5003.2383333333337</v>
      </c>
      <c r="J116" s="133">
        <f>Tbl_Restricciones[[#This Row],[Beneficio unitario (€)]]*Tbl_Restricciones[[#This Row],[Unidades a exportar]]</f>
        <v>5003.2383333333337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</row>
    <row r="117" spans="1:131" ht="17" x14ac:dyDescent="0.25">
      <c r="A117" s="117" t="s">
        <v>17</v>
      </c>
      <c r="B117" s="8" t="s">
        <v>20</v>
      </c>
      <c r="C117" s="87">
        <f xml:space="preserve"> AVERAGEIFS('1_Datos'!E:E, '1_Datos'!B:B, A117, '1_Datos'!C:C, B117)</f>
        <v>221.55500000000001</v>
      </c>
      <c r="D117" s="87">
        <f t="shared" si="3"/>
        <v>144.01075</v>
      </c>
      <c r="E117" s="127">
        <v>110</v>
      </c>
      <c r="F117" s="127">
        <v>85</v>
      </c>
      <c r="G117" s="111">
        <f>Tbl_Restricciones[[#This Row],[Precio unitario (€)]]-Tbl_Restricciones[[#This Row],[Coste unitario (€)]]</f>
        <v>77.544250000000005</v>
      </c>
      <c r="H117" s="112">
        <v>110</v>
      </c>
      <c r="I117" s="111">
        <f>Tbl_Restricciones[[#This Row],[Unidades pedidas]]*Tbl_Restricciones[[#This Row],[Beneficio unitario (€)]]</f>
        <v>8529.8675000000003</v>
      </c>
      <c r="J117" s="132">
        <f>Tbl_Restricciones[[#This Row],[Beneficio unitario (€)]]*Tbl_Restricciones[[#This Row],[Unidades a exportar]]</f>
        <v>8529.8675000000003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 spans="1:131" ht="17" x14ac:dyDescent="0.25">
      <c r="A118" s="117" t="s">
        <v>17</v>
      </c>
      <c r="B118" s="8" t="s">
        <v>13</v>
      </c>
      <c r="C118" s="87">
        <f xml:space="preserve"> AVERAGEIFS('1_Datos'!E:E, '1_Datos'!B:B, A118, '1_Datos'!C:C, B118)</f>
        <v>90.79</v>
      </c>
      <c r="D118" s="87">
        <f t="shared" si="3"/>
        <v>59.013500000000008</v>
      </c>
      <c r="E118" s="127">
        <v>90</v>
      </c>
      <c r="F118" s="127">
        <v>70</v>
      </c>
      <c r="G118" s="88">
        <f>Tbl_Restricciones[[#This Row],[Precio unitario (€)]]-Tbl_Restricciones[[#This Row],[Coste unitario (€)]]</f>
        <v>31.776499999999999</v>
      </c>
      <c r="H118" s="93">
        <v>60</v>
      </c>
      <c r="I118" s="88">
        <f>Tbl_Restricciones[[#This Row],[Unidades pedidas]]*Tbl_Restricciones[[#This Row],[Beneficio unitario (€)]]</f>
        <v>2859.8849999999998</v>
      </c>
      <c r="J118" s="133">
        <f>Tbl_Restricciones[[#This Row],[Beneficio unitario (€)]]*Tbl_Restricciones[[#This Row],[Unidades a exportar]]</f>
        <v>1906.59</v>
      </c>
      <c r="K118" s="1"/>
      <c r="L118" s="1"/>
      <c r="M118" s="1"/>
      <c r="N118" s="1"/>
      <c r="O118" s="1"/>
      <c r="P118" s="1"/>
      <c r="Q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</row>
    <row r="119" spans="1:131" ht="17" x14ac:dyDescent="0.25">
      <c r="A119" s="117" t="s">
        <v>17</v>
      </c>
      <c r="B119" s="8" t="s">
        <v>16</v>
      </c>
      <c r="C119" s="87">
        <f xml:space="preserve"> AVERAGEIFS('1_Datos'!E:E, '1_Datos'!B:B, A119, '1_Datos'!C:C, B119)</f>
        <v>70.174999999999997</v>
      </c>
      <c r="D119" s="87">
        <f t="shared" si="3"/>
        <v>45.613750000000003</v>
      </c>
      <c r="E119" s="127">
        <v>85</v>
      </c>
      <c r="F119" s="127">
        <v>65</v>
      </c>
      <c r="G119" s="111">
        <f>Tbl_Restricciones[[#This Row],[Precio unitario (€)]]-Tbl_Restricciones[[#This Row],[Coste unitario (€)]]</f>
        <v>24.561249999999994</v>
      </c>
      <c r="H119" s="112">
        <v>0</v>
      </c>
      <c r="I119" s="111">
        <f>Tbl_Restricciones[[#This Row],[Unidades pedidas]]*Tbl_Restricciones[[#This Row],[Beneficio unitario (€)]]</f>
        <v>2087.7062499999993</v>
      </c>
      <c r="J119" s="132">
        <f>Tbl_Restricciones[[#This Row],[Beneficio unitario (€)]]*Tbl_Restricciones[[#This Row],[Unidades a exportar]]</f>
        <v>0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</row>
    <row r="120" spans="1:131" ht="17" x14ac:dyDescent="0.25">
      <c r="A120" s="117" t="s">
        <v>17</v>
      </c>
      <c r="B120" s="8" t="s">
        <v>8</v>
      </c>
      <c r="C120" s="87">
        <f xml:space="preserve"> AVERAGEIFS('1_Datos'!E:E, '1_Datos'!B:B, A120, '1_Datos'!C:C, B120)</f>
        <v>134.22500000000002</v>
      </c>
      <c r="D120" s="87">
        <f t="shared" si="3"/>
        <v>87.246250000000018</v>
      </c>
      <c r="E120" s="127">
        <v>100</v>
      </c>
      <c r="F120" s="127">
        <v>80</v>
      </c>
      <c r="G120" s="88">
        <f>Tbl_Restricciones[[#This Row],[Precio unitario (€)]]-Tbl_Restricciones[[#This Row],[Coste unitario (€)]]</f>
        <v>46.978750000000005</v>
      </c>
      <c r="H120" s="93">
        <v>100</v>
      </c>
      <c r="I120" s="88">
        <f>Tbl_Restricciones[[#This Row],[Unidades pedidas]]*Tbl_Restricciones[[#This Row],[Beneficio unitario (€)]]</f>
        <v>4697.8750000000009</v>
      </c>
      <c r="J120" s="133">
        <f>Tbl_Restricciones[[#This Row],[Beneficio unitario (€)]]*Tbl_Restricciones[[#This Row],[Unidades a exportar]]</f>
        <v>4697.8750000000009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</row>
    <row r="121" spans="1:131" ht="17" x14ac:dyDescent="0.25">
      <c r="A121" s="117" t="s">
        <v>17</v>
      </c>
      <c r="B121" s="8" t="s">
        <v>14</v>
      </c>
      <c r="C121" s="87">
        <f xml:space="preserve"> AVERAGEIFS('1_Datos'!E:E, '1_Datos'!B:B, A121, '1_Datos'!C:C, B121)</f>
        <v>78.42</v>
      </c>
      <c r="D121" s="87">
        <f t="shared" si="3"/>
        <v>50.973000000000006</v>
      </c>
      <c r="E121" s="127">
        <v>85</v>
      </c>
      <c r="F121" s="127">
        <v>65</v>
      </c>
      <c r="G121" s="111">
        <f>Tbl_Restricciones[[#This Row],[Precio unitario (€)]]-Tbl_Restricciones[[#This Row],[Coste unitario (€)]]</f>
        <v>27.446999999999996</v>
      </c>
      <c r="H121" s="112">
        <v>0</v>
      </c>
      <c r="I121" s="111">
        <f>Tbl_Restricciones[[#This Row],[Unidades pedidas]]*Tbl_Restricciones[[#This Row],[Beneficio unitario (€)]]</f>
        <v>2332.9949999999994</v>
      </c>
      <c r="J121" s="132">
        <f>Tbl_Restricciones[[#This Row],[Beneficio unitario (€)]]*Tbl_Restricciones[[#This Row],[Unidades a exportar]]</f>
        <v>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</row>
    <row r="122" spans="1:131" ht="17" x14ac:dyDescent="0.25">
      <c r="A122" s="117" t="s">
        <v>17</v>
      </c>
      <c r="B122" s="8" t="s">
        <v>19</v>
      </c>
      <c r="C122" s="87">
        <f xml:space="preserve"> AVERAGEIFS('1_Datos'!E:E, '1_Datos'!B:B, A122, '1_Datos'!C:C, B122)</f>
        <v>225.84</v>
      </c>
      <c r="D122" s="87">
        <f t="shared" si="3"/>
        <v>146.79600000000002</v>
      </c>
      <c r="E122" s="127">
        <v>105</v>
      </c>
      <c r="F122" s="127">
        <v>80</v>
      </c>
      <c r="G122" s="88">
        <f>Tbl_Restricciones[[#This Row],[Precio unitario (€)]]-Tbl_Restricciones[[#This Row],[Coste unitario (€)]]</f>
        <v>79.043999999999983</v>
      </c>
      <c r="H122" s="93">
        <v>105</v>
      </c>
      <c r="I122" s="88">
        <f>Tbl_Restricciones[[#This Row],[Unidades pedidas]]*Tbl_Restricciones[[#This Row],[Beneficio unitario (€)]]</f>
        <v>8299.619999999999</v>
      </c>
      <c r="J122" s="133">
        <f>Tbl_Restricciones[[#This Row],[Beneficio unitario (€)]]*Tbl_Restricciones[[#This Row],[Unidades a exportar]]</f>
        <v>8299.619999999999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</row>
    <row r="123" spans="1:131" ht="17" x14ac:dyDescent="0.25">
      <c r="A123" s="117" t="s">
        <v>17</v>
      </c>
      <c r="B123" s="8" t="s">
        <v>21</v>
      </c>
      <c r="C123" s="87">
        <f xml:space="preserve"> AVERAGEIFS('1_Datos'!E:E, '1_Datos'!B:B, A123, '1_Datos'!C:C, B123)</f>
        <v>118.90249999999999</v>
      </c>
      <c r="D123" s="87">
        <f t="shared" si="3"/>
        <v>77.286625000000001</v>
      </c>
      <c r="E123" s="127">
        <v>95</v>
      </c>
      <c r="F123" s="127">
        <v>70</v>
      </c>
      <c r="G123" s="111">
        <f>Tbl_Restricciones[[#This Row],[Precio unitario (€)]]-Tbl_Restricciones[[#This Row],[Coste unitario (€)]]</f>
        <v>41.615874999999988</v>
      </c>
      <c r="H123" s="112">
        <v>95</v>
      </c>
      <c r="I123" s="111">
        <f>Tbl_Restricciones[[#This Row],[Unidades pedidas]]*Tbl_Restricciones[[#This Row],[Beneficio unitario (€)]]</f>
        <v>3953.5081249999989</v>
      </c>
      <c r="J123" s="132">
        <f>Tbl_Restricciones[[#This Row],[Beneficio unitario (€)]]*Tbl_Restricciones[[#This Row],[Unidades a exportar]]</f>
        <v>3953.5081249999989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</row>
    <row r="124" spans="1:131" ht="17" x14ac:dyDescent="0.25">
      <c r="A124" s="117" t="s">
        <v>24</v>
      </c>
      <c r="B124" s="8" t="s">
        <v>10</v>
      </c>
      <c r="C124" s="87">
        <f xml:space="preserve"> AVERAGEIFS('1_Datos'!E:E, '1_Datos'!B:B, A124, '1_Datos'!C:C, B124)</f>
        <v>125.08</v>
      </c>
      <c r="D124" s="87">
        <f t="shared" si="3"/>
        <v>81.302000000000007</v>
      </c>
      <c r="E124" s="127">
        <v>90</v>
      </c>
      <c r="F124" s="127">
        <v>70</v>
      </c>
      <c r="G124" s="88">
        <f>Tbl_Restricciones[[#This Row],[Precio unitario (€)]]-Tbl_Restricciones[[#This Row],[Coste unitario (€)]]</f>
        <v>43.777999999999992</v>
      </c>
      <c r="H124" s="93">
        <v>90</v>
      </c>
      <c r="I124" s="88">
        <f>Tbl_Restricciones[[#This Row],[Unidades pedidas]]*Tbl_Restricciones[[#This Row],[Beneficio unitario (€)]]</f>
        <v>3940.0199999999991</v>
      </c>
      <c r="J124" s="133">
        <f>Tbl_Restricciones[[#This Row],[Beneficio unitario (€)]]*Tbl_Restricciones[[#This Row],[Unidades a exportar]]</f>
        <v>3940.0199999999991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</row>
    <row r="125" spans="1:131" ht="17" x14ac:dyDescent="0.25">
      <c r="A125" s="117" t="s">
        <v>24</v>
      </c>
      <c r="B125" s="8" t="s">
        <v>18</v>
      </c>
      <c r="C125" s="87">
        <f xml:space="preserve"> AVERAGEIFS('1_Datos'!E:E, '1_Datos'!B:B, A125, '1_Datos'!C:C, B125)</f>
        <v>130.29</v>
      </c>
      <c r="D125" s="87">
        <f t="shared" si="3"/>
        <v>84.688500000000005</v>
      </c>
      <c r="E125" s="127">
        <v>100</v>
      </c>
      <c r="F125" s="127">
        <v>75</v>
      </c>
      <c r="G125" s="111">
        <f>Tbl_Restricciones[[#This Row],[Precio unitario (€)]]-Tbl_Restricciones[[#This Row],[Coste unitario (€)]]</f>
        <v>45.601499999999987</v>
      </c>
      <c r="H125" s="112">
        <v>100</v>
      </c>
      <c r="I125" s="111">
        <f>Tbl_Restricciones[[#This Row],[Unidades pedidas]]*Tbl_Restricciones[[#This Row],[Beneficio unitario (€)]]</f>
        <v>4560.1499999999987</v>
      </c>
      <c r="J125" s="132">
        <f>Tbl_Restricciones[[#This Row],[Beneficio unitario (€)]]*Tbl_Restricciones[[#This Row],[Unidades a exportar]]</f>
        <v>4560.1499999999987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</row>
    <row r="126" spans="1:131" ht="17" x14ac:dyDescent="0.25">
      <c r="A126" s="117" t="s">
        <v>24</v>
      </c>
      <c r="B126" s="8" t="s">
        <v>20</v>
      </c>
      <c r="C126" s="87">
        <f xml:space="preserve"> AVERAGEIFS('1_Datos'!E:E, '1_Datos'!B:B, A126, '1_Datos'!C:C, B126)</f>
        <v>213.27</v>
      </c>
      <c r="D126" s="87">
        <f t="shared" si="3"/>
        <v>138.62550000000002</v>
      </c>
      <c r="E126" s="127">
        <v>110</v>
      </c>
      <c r="F126" s="127">
        <v>85</v>
      </c>
      <c r="G126" s="88">
        <f>Tbl_Restricciones[[#This Row],[Precio unitario (€)]]-Tbl_Restricciones[[#This Row],[Coste unitario (€)]]</f>
        <v>74.644499999999994</v>
      </c>
      <c r="H126" s="93">
        <v>110</v>
      </c>
      <c r="I126" s="88">
        <f>Tbl_Restricciones[[#This Row],[Unidades pedidas]]*Tbl_Restricciones[[#This Row],[Beneficio unitario (€)]]</f>
        <v>8210.8949999999986</v>
      </c>
      <c r="J126" s="133">
        <f>Tbl_Restricciones[[#This Row],[Beneficio unitario (€)]]*Tbl_Restricciones[[#This Row],[Unidades a exportar]]</f>
        <v>8210.8949999999986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</row>
    <row r="127" spans="1:131" ht="17" x14ac:dyDescent="0.25">
      <c r="A127" s="117" t="s">
        <v>24</v>
      </c>
      <c r="B127" s="8" t="s">
        <v>16</v>
      </c>
      <c r="C127" s="87">
        <f xml:space="preserve"> AVERAGEIFS('1_Datos'!E:E, '1_Datos'!B:B, A127, '1_Datos'!C:C, B127)</f>
        <v>110.88249999999999</v>
      </c>
      <c r="D127" s="87">
        <f t="shared" si="3"/>
        <v>72.073624999999993</v>
      </c>
      <c r="E127" s="127">
        <v>90</v>
      </c>
      <c r="F127" s="127">
        <v>70</v>
      </c>
      <c r="G127" s="111">
        <f>Tbl_Restricciones[[#This Row],[Precio unitario (€)]]-Tbl_Restricciones[[#This Row],[Coste unitario (€)]]</f>
        <v>38.808875</v>
      </c>
      <c r="H127" s="112">
        <v>40</v>
      </c>
      <c r="I127" s="111">
        <f>Tbl_Restricciones[[#This Row],[Unidades pedidas]]*Tbl_Restricciones[[#This Row],[Beneficio unitario (€)]]</f>
        <v>3492.7987499999999</v>
      </c>
      <c r="J127" s="132">
        <f>Tbl_Restricciones[[#This Row],[Beneficio unitario (€)]]*Tbl_Restricciones[[#This Row],[Unidades a exportar]]</f>
        <v>1552.355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</row>
    <row r="128" spans="1:131" ht="17" x14ac:dyDescent="0.25">
      <c r="A128" s="117" t="s">
        <v>24</v>
      </c>
      <c r="B128" s="8" t="s">
        <v>8</v>
      </c>
      <c r="C128" s="87">
        <f xml:space="preserve"> AVERAGEIFS('1_Datos'!E:E, '1_Datos'!B:B, A128, '1_Datos'!C:C, B128)</f>
        <v>108.066</v>
      </c>
      <c r="D128" s="87">
        <f t="shared" si="3"/>
        <v>70.242900000000006</v>
      </c>
      <c r="E128" s="127">
        <v>85</v>
      </c>
      <c r="F128" s="127">
        <v>65</v>
      </c>
      <c r="G128" s="88">
        <f>Tbl_Restricciones[[#This Row],[Precio unitario (€)]]-Tbl_Restricciones[[#This Row],[Coste unitario (€)]]</f>
        <v>37.823099999999997</v>
      </c>
      <c r="H128" s="93">
        <v>0</v>
      </c>
      <c r="I128" s="88">
        <f>Tbl_Restricciones[[#This Row],[Unidades pedidas]]*Tbl_Restricciones[[#This Row],[Beneficio unitario (€)]]</f>
        <v>3214.9634999999998</v>
      </c>
      <c r="J128" s="133">
        <f>Tbl_Restricciones[[#This Row],[Beneficio unitario (€)]]*Tbl_Restricciones[[#This Row],[Unidades a exportar]]</f>
        <v>0</v>
      </c>
      <c r="K128" s="1"/>
      <c r="L128" s="1"/>
      <c r="M128" s="1"/>
      <c r="N128" s="1"/>
      <c r="O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</row>
    <row r="129" spans="1:131" ht="17" x14ac:dyDescent="0.25">
      <c r="A129" s="117" t="s">
        <v>24</v>
      </c>
      <c r="B129" s="8" t="s">
        <v>19</v>
      </c>
      <c r="C129" s="87">
        <f xml:space="preserve"> AVERAGEIFS('1_Datos'!E:E, '1_Datos'!B:B, A129, '1_Datos'!C:C, B129)</f>
        <v>116.01</v>
      </c>
      <c r="D129" s="87">
        <f t="shared" si="3"/>
        <v>75.406500000000008</v>
      </c>
      <c r="E129" s="127">
        <v>95</v>
      </c>
      <c r="F129" s="127">
        <v>70</v>
      </c>
      <c r="G129" s="111">
        <f>Tbl_Restricciones[[#This Row],[Precio unitario (€)]]-Tbl_Restricciones[[#This Row],[Coste unitario (€)]]</f>
        <v>40.603499999999997</v>
      </c>
      <c r="H129" s="112">
        <v>95</v>
      </c>
      <c r="I129" s="111">
        <f>Tbl_Restricciones[[#This Row],[Unidades pedidas]]*Tbl_Restricciones[[#This Row],[Beneficio unitario (€)]]</f>
        <v>3857.3324999999995</v>
      </c>
      <c r="J129" s="132">
        <f>Tbl_Restricciones[[#This Row],[Beneficio unitario (€)]]*Tbl_Restricciones[[#This Row],[Unidades a exportar]]</f>
        <v>3857.3324999999995</v>
      </c>
      <c r="K129" s="1"/>
      <c r="L129" s="1"/>
      <c r="M129" s="106" t="s">
        <v>222</v>
      </c>
      <c r="N129" s="79"/>
      <c r="O129" s="79"/>
      <c r="P129" s="79"/>
      <c r="Q129" s="79"/>
      <c r="R129" s="107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</row>
    <row r="130" spans="1:131" ht="17" x14ac:dyDescent="0.25">
      <c r="A130" s="117" t="s">
        <v>15</v>
      </c>
      <c r="B130" s="8" t="s">
        <v>10</v>
      </c>
      <c r="C130" s="87">
        <f xml:space="preserve"> AVERAGEIFS('1_Datos'!E:E, '1_Datos'!B:B, A130, '1_Datos'!C:C, B130)</f>
        <v>146.3125</v>
      </c>
      <c r="D130" s="87">
        <f t="shared" si="3"/>
        <v>95.103125000000006</v>
      </c>
      <c r="E130" s="127">
        <v>420</v>
      </c>
      <c r="F130" s="127">
        <v>390</v>
      </c>
      <c r="G130" s="88">
        <f>Tbl_Restricciones[[#This Row],[Precio unitario (€)]]-Tbl_Restricciones[[#This Row],[Coste unitario (€)]]</f>
        <v>51.209374999999994</v>
      </c>
      <c r="H130" s="93">
        <v>420</v>
      </c>
      <c r="I130" s="88">
        <f>Tbl_Restricciones[[#This Row],[Unidades pedidas]]*Tbl_Restricciones[[#This Row],[Beneficio unitario (€)]]</f>
        <v>21507.937499999996</v>
      </c>
      <c r="J130" s="133">
        <f>Tbl_Restricciones[[#This Row],[Beneficio unitario (€)]]*Tbl_Restricciones[[#This Row],[Unidades a exportar]]</f>
        <v>21507.937499999996</v>
      </c>
      <c r="K130" s="1"/>
      <c r="L130" s="1"/>
      <c r="M130" s="108"/>
      <c r="N130" s="109"/>
      <c r="O130" s="109"/>
      <c r="P130" s="109"/>
      <c r="Q130" s="109"/>
      <c r="R130" s="110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</row>
    <row r="131" spans="1:131" ht="17" x14ac:dyDescent="0.25">
      <c r="A131" s="117" t="s">
        <v>15</v>
      </c>
      <c r="B131" s="8" t="s">
        <v>18</v>
      </c>
      <c r="C131" s="87">
        <f xml:space="preserve"> AVERAGEIFS('1_Datos'!E:E, '1_Datos'!B:B, A131, '1_Datos'!C:C, B131)</f>
        <v>152.61000000000001</v>
      </c>
      <c r="D131" s="87">
        <f t="shared" si="3"/>
        <v>99.196500000000015</v>
      </c>
      <c r="E131" s="127">
        <v>440</v>
      </c>
      <c r="F131" s="127">
        <v>410</v>
      </c>
      <c r="G131" s="111">
        <f>Tbl_Restricciones[[#This Row],[Precio unitario (€)]]-Tbl_Restricciones[[#This Row],[Coste unitario (€)]]</f>
        <v>53.413499999999999</v>
      </c>
      <c r="H131" s="112">
        <v>440</v>
      </c>
      <c r="I131" s="111">
        <f>Tbl_Restricciones[[#This Row],[Unidades pedidas]]*Tbl_Restricciones[[#This Row],[Beneficio unitario (€)]]</f>
        <v>23501.94</v>
      </c>
      <c r="J131" s="132">
        <f>Tbl_Restricciones[[#This Row],[Beneficio unitario (€)]]*Tbl_Restricciones[[#This Row],[Unidades a exportar]]</f>
        <v>23501.94</v>
      </c>
      <c r="K131" s="1"/>
      <c r="L131" s="1"/>
      <c r="M131" s="80" t="s">
        <v>203</v>
      </c>
      <c r="N131" s="102"/>
      <c r="O131" s="103"/>
      <c r="P131" s="103"/>
      <c r="Q131" s="103"/>
      <c r="R131" s="8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</row>
    <row r="132" spans="1:131" ht="17" x14ac:dyDescent="0.25">
      <c r="A132" s="117" t="s">
        <v>15</v>
      </c>
      <c r="B132" s="8" t="s">
        <v>20</v>
      </c>
      <c r="C132" s="87">
        <f xml:space="preserve"> AVERAGEIFS('1_Datos'!E:E, '1_Datos'!B:B, A132, '1_Datos'!C:C, B132)</f>
        <v>169.75</v>
      </c>
      <c r="D132" s="87">
        <f t="shared" si="3"/>
        <v>110.33750000000001</v>
      </c>
      <c r="E132" s="127">
        <v>380</v>
      </c>
      <c r="F132" s="127">
        <v>370</v>
      </c>
      <c r="G132" s="88">
        <f>Tbl_Restricciones[[#This Row],[Precio unitario (€)]]-Tbl_Restricciones[[#This Row],[Coste unitario (€)]]</f>
        <v>59.412499999999994</v>
      </c>
      <c r="H132" s="93">
        <v>380</v>
      </c>
      <c r="I132" s="88">
        <f>Tbl_Restricciones[[#This Row],[Unidades pedidas]]*Tbl_Restricciones[[#This Row],[Beneficio unitario (€)]]</f>
        <v>22576.749999999996</v>
      </c>
      <c r="J132" s="133">
        <f>Tbl_Restricciones[[#This Row],[Beneficio unitario (€)]]*Tbl_Restricciones[[#This Row],[Unidades a exportar]]</f>
        <v>22576.749999999996</v>
      </c>
      <c r="K132" s="1"/>
      <c r="L132" s="1"/>
      <c r="M132" s="80" t="s">
        <v>204</v>
      </c>
      <c r="N132" s="102"/>
      <c r="O132" s="103"/>
      <c r="P132" s="103"/>
      <c r="Q132" s="103"/>
      <c r="R132" s="8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</row>
    <row r="133" spans="1:131" ht="17" x14ac:dyDescent="0.25">
      <c r="A133" s="117" t="s">
        <v>15</v>
      </c>
      <c r="B133" s="8" t="s">
        <v>13</v>
      </c>
      <c r="C133" s="87">
        <f xml:space="preserve"> AVERAGEIFS('1_Datos'!E:E, '1_Datos'!B:B, A133, '1_Datos'!C:C, B133)</f>
        <v>125.17500000000001</v>
      </c>
      <c r="D133" s="87">
        <f t="shared" si="3"/>
        <v>81.36375000000001</v>
      </c>
      <c r="E133" s="127">
        <v>460</v>
      </c>
      <c r="F133" s="127">
        <v>430</v>
      </c>
      <c r="G133" s="111">
        <f>Tbl_Restricciones[[#This Row],[Precio unitario (€)]]-Tbl_Restricciones[[#This Row],[Coste unitario (€)]]</f>
        <v>43.811250000000001</v>
      </c>
      <c r="H133" s="112">
        <v>200</v>
      </c>
      <c r="I133" s="111">
        <f>Tbl_Restricciones[[#This Row],[Unidades pedidas]]*Tbl_Restricciones[[#This Row],[Beneficio unitario (€)]]</f>
        <v>20153.174999999999</v>
      </c>
      <c r="J133" s="132">
        <f>Tbl_Restricciones[[#This Row],[Beneficio unitario (€)]]*Tbl_Restricciones[[#This Row],[Unidades a exportar]]</f>
        <v>8762.25</v>
      </c>
      <c r="K133" s="1"/>
      <c r="L133" s="1"/>
      <c r="M133" s="80"/>
      <c r="N133" s="104"/>
      <c r="O133" s="103"/>
      <c r="P133" s="103"/>
      <c r="Q133" s="103"/>
      <c r="R133" s="8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</row>
    <row r="134" spans="1:131" ht="17" x14ac:dyDescent="0.25">
      <c r="A134" s="117" t="s">
        <v>15</v>
      </c>
      <c r="B134" s="8" t="s">
        <v>16</v>
      </c>
      <c r="C134" s="87">
        <f xml:space="preserve"> AVERAGEIFS('1_Datos'!E:E, '1_Datos'!B:B, A134, '1_Datos'!C:C, B134)</f>
        <v>162.63</v>
      </c>
      <c r="D134" s="87">
        <f t="shared" si="3"/>
        <v>105.70950000000001</v>
      </c>
      <c r="E134" s="127">
        <v>390</v>
      </c>
      <c r="F134" s="127">
        <v>360</v>
      </c>
      <c r="G134" s="88">
        <f>Tbl_Restricciones[[#This Row],[Precio unitario (€)]]-Tbl_Restricciones[[#This Row],[Coste unitario (€)]]</f>
        <v>56.92049999999999</v>
      </c>
      <c r="H134" s="93">
        <v>390</v>
      </c>
      <c r="I134" s="88">
        <f>Tbl_Restricciones[[#This Row],[Unidades pedidas]]*Tbl_Restricciones[[#This Row],[Beneficio unitario (€)]]</f>
        <v>22198.994999999995</v>
      </c>
      <c r="J134" s="133">
        <f>Tbl_Restricciones[[#This Row],[Beneficio unitario (€)]]*Tbl_Restricciones[[#This Row],[Unidades a exportar]]</f>
        <v>22198.994999999995</v>
      </c>
      <c r="K134" s="1"/>
      <c r="L134" s="1"/>
      <c r="M134" s="80" t="s">
        <v>205</v>
      </c>
      <c r="N134" s="102"/>
      <c r="O134" s="103"/>
      <c r="P134" s="103"/>
      <c r="Q134" s="103"/>
      <c r="R134" s="8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</row>
    <row r="135" spans="1:131" ht="17" x14ac:dyDescent="0.25">
      <c r="A135" s="117" t="s">
        <v>15</v>
      </c>
      <c r="B135" s="8" t="s">
        <v>8</v>
      </c>
      <c r="C135" s="87">
        <f xml:space="preserve"> AVERAGEIFS('1_Datos'!E:E, '1_Datos'!B:B, A135, '1_Datos'!C:C, B135)</f>
        <v>151.01999999999998</v>
      </c>
      <c r="D135" s="87">
        <f t="shared" si="3"/>
        <v>98.162999999999997</v>
      </c>
      <c r="E135" s="127">
        <v>400</v>
      </c>
      <c r="F135" s="127">
        <v>375</v>
      </c>
      <c r="G135" s="111">
        <f>Tbl_Restricciones[[#This Row],[Precio unitario (€)]]-Tbl_Restricciones[[#This Row],[Coste unitario (€)]]</f>
        <v>52.856999999999985</v>
      </c>
      <c r="H135" s="112">
        <v>400</v>
      </c>
      <c r="I135" s="111">
        <f>Tbl_Restricciones[[#This Row],[Unidades pedidas]]*Tbl_Restricciones[[#This Row],[Beneficio unitario (€)]]</f>
        <v>21142.799999999996</v>
      </c>
      <c r="J135" s="132">
        <f>Tbl_Restricciones[[#This Row],[Beneficio unitario (€)]]*Tbl_Restricciones[[#This Row],[Unidades a exportar]]</f>
        <v>21142.799999999996</v>
      </c>
      <c r="K135" s="1"/>
      <c r="L135" s="1"/>
      <c r="M135" s="80" t="s">
        <v>206</v>
      </c>
      <c r="N135" s="104"/>
      <c r="O135" s="103"/>
      <c r="P135" s="103"/>
      <c r="Q135" s="103"/>
      <c r="R135" s="8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</row>
    <row r="136" spans="1:131" ht="17" x14ac:dyDescent="0.25">
      <c r="A136" s="117" t="s">
        <v>15</v>
      </c>
      <c r="B136" s="8" t="s">
        <v>14</v>
      </c>
      <c r="C136" s="87">
        <f xml:space="preserve"> AVERAGEIFS('1_Datos'!E:E, '1_Datos'!B:B, A136, '1_Datos'!C:C, B136)</f>
        <v>125.93</v>
      </c>
      <c r="D136" s="87">
        <f t="shared" si="3"/>
        <v>81.854500000000002</v>
      </c>
      <c r="E136" s="127">
        <v>450</v>
      </c>
      <c r="F136" s="127">
        <v>415</v>
      </c>
      <c r="G136" s="88">
        <f>Tbl_Restricciones[[#This Row],[Precio unitario (€)]]-Tbl_Restricciones[[#This Row],[Coste unitario (€)]]</f>
        <v>44.075500000000005</v>
      </c>
      <c r="H136" s="93">
        <v>450</v>
      </c>
      <c r="I136" s="88">
        <f>Tbl_Restricciones[[#This Row],[Unidades pedidas]]*Tbl_Restricciones[[#This Row],[Beneficio unitario (€)]]</f>
        <v>19833.975000000002</v>
      </c>
      <c r="J136" s="133">
        <f>Tbl_Restricciones[[#This Row],[Beneficio unitario (€)]]*Tbl_Restricciones[[#This Row],[Unidades a exportar]]</f>
        <v>19833.975000000002</v>
      </c>
      <c r="K136" s="1"/>
      <c r="L136" s="1"/>
      <c r="M136" s="80" t="s">
        <v>207</v>
      </c>
      <c r="N136" s="102"/>
      <c r="O136" s="103"/>
      <c r="P136" s="103"/>
      <c r="Q136" s="103"/>
      <c r="R136" s="8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</row>
    <row r="137" spans="1:131" ht="17" x14ac:dyDescent="0.25">
      <c r="A137" s="117" t="s">
        <v>15</v>
      </c>
      <c r="B137" s="8" t="s">
        <v>19</v>
      </c>
      <c r="C137" s="87">
        <f xml:space="preserve"> AVERAGEIFS('1_Datos'!E:E, '1_Datos'!B:B, A137, '1_Datos'!C:C, B137)</f>
        <v>193.10666666666668</v>
      </c>
      <c r="D137" s="87">
        <f t="shared" si="3"/>
        <v>125.51933333333335</v>
      </c>
      <c r="E137" s="127">
        <v>370</v>
      </c>
      <c r="F137" s="127">
        <v>350</v>
      </c>
      <c r="G137" s="111">
        <f>Tbl_Restricciones[[#This Row],[Precio unitario (€)]]-Tbl_Restricciones[[#This Row],[Coste unitario (€)]]</f>
        <v>67.587333333333333</v>
      </c>
      <c r="H137" s="112">
        <v>370</v>
      </c>
      <c r="I137" s="111">
        <f>Tbl_Restricciones[[#This Row],[Unidades pedidas]]*Tbl_Restricciones[[#This Row],[Beneficio unitario (€)]]</f>
        <v>25007.313333333332</v>
      </c>
      <c r="J137" s="132">
        <f>Tbl_Restricciones[[#This Row],[Beneficio unitario (€)]]*Tbl_Restricciones[[#This Row],[Unidades a exportar]]</f>
        <v>25007.313333333332</v>
      </c>
      <c r="K137" s="1"/>
      <c r="L137" s="1"/>
      <c r="M137" s="80"/>
      <c r="N137" s="102"/>
      <c r="O137" s="103"/>
      <c r="P137" s="103"/>
      <c r="Q137" s="103"/>
      <c r="R137" s="8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</row>
    <row r="138" spans="1:131" ht="17" x14ac:dyDescent="0.25">
      <c r="A138" s="117" t="s">
        <v>15</v>
      </c>
      <c r="B138" s="8" t="s">
        <v>21</v>
      </c>
      <c r="C138" s="87">
        <f xml:space="preserve"> AVERAGEIFS('1_Datos'!E:E, '1_Datos'!B:B, A138, '1_Datos'!C:C, B138)</f>
        <v>182.14</v>
      </c>
      <c r="D138" s="87">
        <f t="shared" si="3"/>
        <v>118.39099999999999</v>
      </c>
      <c r="E138" s="127">
        <v>410</v>
      </c>
      <c r="F138" s="127">
        <v>390</v>
      </c>
      <c r="G138" s="88">
        <f>Tbl_Restricciones[[#This Row],[Precio unitario (€)]]-Tbl_Restricciones[[#This Row],[Coste unitario (€)]]</f>
        <v>63.748999999999995</v>
      </c>
      <c r="H138" s="93">
        <v>410</v>
      </c>
      <c r="I138" s="88">
        <f>Tbl_Restricciones[[#This Row],[Unidades pedidas]]*Tbl_Restricciones[[#This Row],[Beneficio unitario (€)]]</f>
        <v>26137.089999999997</v>
      </c>
      <c r="J138" s="133">
        <f>Tbl_Restricciones[[#This Row],[Beneficio unitario (€)]]*Tbl_Restricciones[[#This Row],[Unidades a exportar]]</f>
        <v>26137.089999999997</v>
      </c>
      <c r="K138" s="1"/>
      <c r="L138" s="1"/>
      <c r="M138" s="80" t="s">
        <v>208</v>
      </c>
      <c r="N138" s="102"/>
      <c r="O138" s="103"/>
      <c r="P138" s="103"/>
      <c r="Q138" s="103"/>
      <c r="R138" s="8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</row>
    <row r="139" spans="1:131" ht="17" x14ac:dyDescent="0.25">
      <c r="A139" s="117" t="s">
        <v>15</v>
      </c>
      <c r="B139" s="8" t="s">
        <v>11</v>
      </c>
      <c r="C139" s="87">
        <f xml:space="preserve"> AVERAGEIFS('1_Datos'!E:E, '1_Datos'!B:B, A139, '1_Datos'!C:C, B139)</f>
        <v>137.38200000000001</v>
      </c>
      <c r="D139" s="87">
        <f t="shared" si="3"/>
        <v>89.298300000000012</v>
      </c>
      <c r="E139" s="127">
        <v>430</v>
      </c>
      <c r="F139" s="127">
        <v>400</v>
      </c>
      <c r="G139" s="111">
        <f>Tbl_Restricciones[[#This Row],[Precio unitario (€)]]-Tbl_Restricciones[[#This Row],[Coste unitario (€)]]</f>
        <v>48.083699999999993</v>
      </c>
      <c r="H139" s="112">
        <v>430</v>
      </c>
      <c r="I139" s="111">
        <f>Tbl_Restricciones[[#This Row],[Unidades pedidas]]*Tbl_Restricciones[[#This Row],[Beneficio unitario (€)]]</f>
        <v>20675.990999999998</v>
      </c>
      <c r="J139" s="132">
        <f>Tbl_Restricciones[[#This Row],[Beneficio unitario (€)]]*Tbl_Restricciones[[#This Row],[Unidades a exportar]]</f>
        <v>20675.990999999998</v>
      </c>
      <c r="K139" s="1"/>
      <c r="L139" s="1"/>
      <c r="M139" s="123" t="s">
        <v>209</v>
      </c>
      <c r="N139" s="103"/>
      <c r="O139" s="103"/>
      <c r="P139" s="103"/>
      <c r="Q139" s="103"/>
      <c r="R139" s="8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</row>
    <row r="140" spans="1:131" ht="17" x14ac:dyDescent="0.25">
      <c r="A140" s="117" t="s">
        <v>9</v>
      </c>
      <c r="B140" s="8" t="s">
        <v>10</v>
      </c>
      <c r="C140" s="87">
        <f xml:space="preserve"> AVERAGEIFS('1_Datos'!E:E, '1_Datos'!B:B, A140, '1_Datos'!C:C, B140)</f>
        <v>157.51500000000001</v>
      </c>
      <c r="D140" s="87">
        <f t="shared" si="3"/>
        <v>102.38475000000001</v>
      </c>
      <c r="E140" s="127">
        <v>390</v>
      </c>
      <c r="F140" s="127">
        <v>360</v>
      </c>
      <c r="G140" s="88">
        <f>Tbl_Restricciones[[#This Row],[Precio unitario (€)]]-Tbl_Restricciones[[#This Row],[Coste unitario (€)]]</f>
        <v>55.130250000000004</v>
      </c>
      <c r="H140" s="93">
        <v>390</v>
      </c>
      <c r="I140" s="88">
        <f>Tbl_Restricciones[[#This Row],[Unidades pedidas]]*Tbl_Restricciones[[#This Row],[Beneficio unitario (€)]]</f>
        <v>21500.797500000001</v>
      </c>
      <c r="J140" s="133">
        <f>Tbl_Restricciones[[#This Row],[Beneficio unitario (€)]]*Tbl_Restricciones[[#This Row],[Unidades a exportar]]</f>
        <v>21500.797500000001</v>
      </c>
      <c r="K140" s="1"/>
      <c r="L140" s="1"/>
      <c r="M140" s="80" t="s">
        <v>210</v>
      </c>
      <c r="N140" s="102"/>
      <c r="O140" s="103"/>
      <c r="P140" s="103"/>
      <c r="Q140" s="103"/>
      <c r="R140" s="8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</row>
    <row r="141" spans="1:131" ht="17" x14ac:dyDescent="0.25">
      <c r="A141" s="117" t="s">
        <v>9</v>
      </c>
      <c r="B141" s="8" t="s">
        <v>18</v>
      </c>
      <c r="C141" s="87">
        <f xml:space="preserve"> AVERAGEIFS('1_Datos'!E:E, '1_Datos'!B:B, A141, '1_Datos'!C:C, B141)</f>
        <v>98.05</v>
      </c>
      <c r="D141" s="87">
        <f t="shared" si="3"/>
        <v>63.732500000000002</v>
      </c>
      <c r="E141" s="127">
        <v>420</v>
      </c>
      <c r="F141" s="127">
        <v>380</v>
      </c>
      <c r="G141" s="111">
        <f>Tbl_Restricciones[[#This Row],[Precio unitario (€)]]-Tbl_Restricciones[[#This Row],[Coste unitario (€)]]</f>
        <v>34.317499999999995</v>
      </c>
      <c r="H141" s="112">
        <v>420</v>
      </c>
      <c r="I141" s="111">
        <f>Tbl_Restricciones[[#This Row],[Unidades pedidas]]*Tbl_Restricciones[[#This Row],[Beneficio unitario (€)]]</f>
        <v>14413.349999999999</v>
      </c>
      <c r="J141" s="132">
        <f>Tbl_Restricciones[[#This Row],[Beneficio unitario (€)]]*Tbl_Restricciones[[#This Row],[Unidades a exportar]]</f>
        <v>14413.349999999999</v>
      </c>
      <c r="K141" s="1"/>
      <c r="L141" s="1"/>
      <c r="M141" s="82" t="s">
        <v>211</v>
      </c>
      <c r="N141" s="105"/>
      <c r="O141" s="83"/>
      <c r="P141" s="83"/>
      <c r="Q141" s="83"/>
      <c r="R141" s="84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</row>
    <row r="142" spans="1:131" ht="17" x14ac:dyDescent="0.25">
      <c r="A142" s="117" t="s">
        <v>9</v>
      </c>
      <c r="B142" s="8" t="s">
        <v>20</v>
      </c>
      <c r="C142" s="87">
        <f xml:space="preserve"> AVERAGEIFS('1_Datos'!E:E, '1_Datos'!B:B, A142, '1_Datos'!C:C, B142)</f>
        <v>123.43</v>
      </c>
      <c r="D142" s="87">
        <f t="shared" si="3"/>
        <v>80.229500000000002</v>
      </c>
      <c r="E142" s="127">
        <v>400</v>
      </c>
      <c r="F142" s="127">
        <v>375</v>
      </c>
      <c r="G142" s="88">
        <f>Tbl_Restricciones[[#This Row],[Precio unitario (€)]]-Tbl_Restricciones[[#This Row],[Coste unitario (€)]]</f>
        <v>43.200500000000005</v>
      </c>
      <c r="H142" s="93">
        <v>400</v>
      </c>
      <c r="I142" s="88">
        <f>Tbl_Restricciones[[#This Row],[Unidades pedidas]]*Tbl_Restricciones[[#This Row],[Beneficio unitario (€)]]</f>
        <v>17280.2</v>
      </c>
      <c r="J142" s="133">
        <f>Tbl_Restricciones[[#This Row],[Beneficio unitario (€)]]*Tbl_Restricciones[[#This Row],[Unidades a exportar]]</f>
        <v>17280.2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</row>
    <row r="143" spans="1:131" ht="17" x14ac:dyDescent="0.25">
      <c r="A143" s="117" t="s">
        <v>9</v>
      </c>
      <c r="B143" s="8" t="s">
        <v>13</v>
      </c>
      <c r="C143" s="87">
        <f xml:space="preserve"> AVERAGEIFS('1_Datos'!E:E, '1_Datos'!B:B, A143, '1_Datos'!C:C, B143)</f>
        <v>57.61</v>
      </c>
      <c r="D143" s="87">
        <f t="shared" si="3"/>
        <v>37.4465</v>
      </c>
      <c r="E143" s="127">
        <v>450</v>
      </c>
      <c r="F143" s="127">
        <v>420</v>
      </c>
      <c r="G143" s="111">
        <f>Tbl_Restricciones[[#This Row],[Precio unitario (€)]]-Tbl_Restricciones[[#This Row],[Coste unitario (€)]]</f>
        <v>20.163499999999999</v>
      </c>
      <c r="H143" s="112">
        <v>160</v>
      </c>
      <c r="I143" s="111">
        <f>Tbl_Restricciones[[#This Row],[Unidades pedidas]]*Tbl_Restricciones[[#This Row],[Beneficio unitario (€)]]</f>
        <v>9073.5749999999989</v>
      </c>
      <c r="J143" s="132">
        <f>Tbl_Restricciones[[#This Row],[Beneficio unitario (€)]]*Tbl_Restricciones[[#This Row],[Unidades a exportar]]</f>
        <v>3226.16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</row>
    <row r="144" spans="1:131" ht="17" x14ac:dyDescent="0.25">
      <c r="A144" s="117" t="s">
        <v>9</v>
      </c>
      <c r="B144" s="8" t="s">
        <v>16</v>
      </c>
      <c r="C144" s="87">
        <f xml:space="preserve"> AVERAGEIFS('1_Datos'!E:E, '1_Datos'!B:B, A144, '1_Datos'!C:C, B144)</f>
        <v>237.08499999999998</v>
      </c>
      <c r="D144" s="87">
        <f t="shared" si="3"/>
        <v>154.10524999999998</v>
      </c>
      <c r="E144" s="127">
        <v>370</v>
      </c>
      <c r="F144" s="127">
        <v>340</v>
      </c>
      <c r="G144" s="88">
        <f>Tbl_Restricciones[[#This Row],[Precio unitario (€)]]-Tbl_Restricciones[[#This Row],[Coste unitario (€)]]</f>
        <v>82.979749999999996</v>
      </c>
      <c r="H144" s="93">
        <v>370</v>
      </c>
      <c r="I144" s="88">
        <f>Tbl_Restricciones[[#This Row],[Unidades pedidas]]*Tbl_Restricciones[[#This Row],[Beneficio unitario (€)]]</f>
        <v>30702.5075</v>
      </c>
      <c r="J144" s="133">
        <f>Tbl_Restricciones[[#This Row],[Beneficio unitario (€)]]*Tbl_Restricciones[[#This Row],[Unidades a exportar]]</f>
        <v>30702.5075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</row>
    <row r="145" spans="1:131" ht="17" x14ac:dyDescent="0.25">
      <c r="A145" s="117" t="s">
        <v>9</v>
      </c>
      <c r="B145" s="8" t="s">
        <v>8</v>
      </c>
      <c r="C145" s="87">
        <f xml:space="preserve"> AVERAGEIFS('1_Datos'!E:E, '1_Datos'!B:B, A145, '1_Datos'!C:C, B145)</f>
        <v>247.7</v>
      </c>
      <c r="D145" s="87">
        <f t="shared" si="3"/>
        <v>161.005</v>
      </c>
      <c r="E145" s="127">
        <v>360</v>
      </c>
      <c r="F145" s="127">
        <v>330</v>
      </c>
      <c r="G145" s="111">
        <f>Tbl_Restricciones[[#This Row],[Precio unitario (€)]]-Tbl_Restricciones[[#This Row],[Coste unitario (€)]]</f>
        <v>86.694999999999993</v>
      </c>
      <c r="H145" s="112">
        <v>360</v>
      </c>
      <c r="I145" s="111">
        <f>Tbl_Restricciones[[#This Row],[Unidades pedidas]]*Tbl_Restricciones[[#This Row],[Beneficio unitario (€)]]</f>
        <v>31210.199999999997</v>
      </c>
      <c r="J145" s="132">
        <f>Tbl_Restricciones[[#This Row],[Beneficio unitario (€)]]*Tbl_Restricciones[[#This Row],[Unidades a exportar]]</f>
        <v>31210.199999999997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</row>
    <row r="146" spans="1:131" ht="17" x14ac:dyDescent="0.25">
      <c r="A146" s="117" t="s">
        <v>9</v>
      </c>
      <c r="B146" s="8" t="s">
        <v>14</v>
      </c>
      <c r="C146" s="87">
        <f xml:space="preserve"> AVERAGEIFS('1_Datos'!E:E, '1_Datos'!B:B, A146, '1_Datos'!C:C, B146)</f>
        <v>154.49333333333334</v>
      </c>
      <c r="D146" s="87">
        <f t="shared" si="3"/>
        <v>100.42066666666668</v>
      </c>
      <c r="E146" s="127">
        <v>395</v>
      </c>
      <c r="F146" s="127">
        <v>365</v>
      </c>
      <c r="G146" s="88">
        <f>Tbl_Restricciones[[#This Row],[Precio unitario (€)]]-Tbl_Restricciones[[#This Row],[Coste unitario (€)]]</f>
        <v>54.072666666666663</v>
      </c>
      <c r="H146" s="93">
        <v>395</v>
      </c>
      <c r="I146" s="88">
        <f>Tbl_Restricciones[[#This Row],[Unidades pedidas]]*Tbl_Restricciones[[#This Row],[Beneficio unitario (€)]]</f>
        <v>21358.703333333331</v>
      </c>
      <c r="J146" s="133">
        <f>Tbl_Restricciones[[#This Row],[Beneficio unitario (€)]]*Tbl_Restricciones[[#This Row],[Unidades a exportar]]</f>
        <v>21358.703333333331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</row>
    <row r="147" spans="1:131" ht="17" x14ac:dyDescent="0.25">
      <c r="A147" s="117" t="s">
        <v>9</v>
      </c>
      <c r="B147" s="8" t="s">
        <v>19</v>
      </c>
      <c r="C147" s="87">
        <f xml:space="preserve"> AVERAGEIFS('1_Datos'!E:E, '1_Datos'!B:B, A147, '1_Datos'!C:C, B147)</f>
        <v>82.95</v>
      </c>
      <c r="D147" s="87">
        <f t="shared" si="3"/>
        <v>53.917500000000004</v>
      </c>
      <c r="E147" s="127">
        <v>410</v>
      </c>
      <c r="F147" s="127">
        <v>390</v>
      </c>
      <c r="G147" s="111">
        <f>Tbl_Restricciones[[#This Row],[Precio unitario (€)]]-Tbl_Restricciones[[#This Row],[Coste unitario (€)]]</f>
        <v>29.032499999999999</v>
      </c>
      <c r="H147" s="112">
        <v>410</v>
      </c>
      <c r="I147" s="111">
        <f>Tbl_Restricciones[[#This Row],[Unidades pedidas]]*Tbl_Restricciones[[#This Row],[Beneficio unitario (€)]]</f>
        <v>11903.324999999999</v>
      </c>
      <c r="J147" s="132">
        <f>Tbl_Restricciones[[#This Row],[Beneficio unitario (€)]]*Tbl_Restricciones[[#This Row],[Unidades a exportar]]</f>
        <v>11903.324999999999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</row>
    <row r="148" spans="1:131" ht="17" x14ac:dyDescent="0.25">
      <c r="A148" s="117" t="s">
        <v>9</v>
      </c>
      <c r="B148" s="8" t="s">
        <v>21</v>
      </c>
      <c r="C148" s="87">
        <f xml:space="preserve"> AVERAGEIFS('1_Datos'!E:E, '1_Datos'!B:B, A148, '1_Datos'!C:C, B148)</f>
        <v>157.94499999999999</v>
      </c>
      <c r="D148" s="87">
        <f t="shared" si="3"/>
        <v>102.66425</v>
      </c>
      <c r="E148" s="127">
        <v>385</v>
      </c>
      <c r="F148" s="127">
        <v>360</v>
      </c>
      <c r="G148" s="88">
        <f>Tbl_Restricciones[[#This Row],[Precio unitario (€)]]-Tbl_Restricciones[[#This Row],[Coste unitario (€)]]</f>
        <v>55.280749999999998</v>
      </c>
      <c r="H148" s="93">
        <v>385</v>
      </c>
      <c r="I148" s="88">
        <f>Tbl_Restricciones[[#This Row],[Unidades pedidas]]*Tbl_Restricciones[[#This Row],[Beneficio unitario (€)]]</f>
        <v>21283.088749999999</v>
      </c>
      <c r="J148" s="133">
        <f>Tbl_Restricciones[[#This Row],[Beneficio unitario (€)]]*Tbl_Restricciones[[#This Row],[Unidades a exportar]]</f>
        <v>21283.088749999999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</row>
    <row r="149" spans="1:131" ht="17" x14ac:dyDescent="0.25">
      <c r="A149" s="117" t="s">
        <v>9</v>
      </c>
      <c r="B149" s="8" t="s">
        <v>11</v>
      </c>
      <c r="C149" s="87">
        <f xml:space="preserve"> AVERAGEIFS('1_Datos'!E:E, '1_Datos'!B:B, A149, '1_Datos'!C:C, B149)</f>
        <v>151.36000000000001</v>
      </c>
      <c r="D149" s="87">
        <f t="shared" si="3"/>
        <v>98.384000000000015</v>
      </c>
      <c r="E149" s="127">
        <v>400</v>
      </c>
      <c r="F149" s="127">
        <v>370</v>
      </c>
      <c r="G149" s="111">
        <f>Tbl_Restricciones[[#This Row],[Precio unitario (€)]]-Tbl_Restricciones[[#This Row],[Coste unitario (€)]]</f>
        <v>52.975999999999999</v>
      </c>
      <c r="H149" s="112">
        <v>400</v>
      </c>
      <c r="I149" s="111">
        <f>Tbl_Restricciones[[#This Row],[Unidades pedidas]]*Tbl_Restricciones[[#This Row],[Beneficio unitario (€)]]</f>
        <v>21190.400000000001</v>
      </c>
      <c r="J149" s="132">
        <f>Tbl_Restricciones[[#This Row],[Beneficio unitario (€)]]*Tbl_Restricciones[[#This Row],[Unidades a exportar]]</f>
        <v>21190.400000000001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</row>
    <row r="150" spans="1:131" ht="17" x14ac:dyDescent="0.25">
      <c r="A150" s="117" t="s">
        <v>22</v>
      </c>
      <c r="B150" s="8" t="s">
        <v>10</v>
      </c>
      <c r="C150" s="87">
        <f xml:space="preserve"> AVERAGEIFS('1_Datos'!E:E, '1_Datos'!B:B, A150, '1_Datos'!C:C, B150)</f>
        <v>88.07</v>
      </c>
      <c r="D150" s="87">
        <f t="shared" si="3"/>
        <v>57.2455</v>
      </c>
      <c r="E150" s="127">
        <v>430</v>
      </c>
      <c r="F150" s="127">
        <v>400</v>
      </c>
      <c r="G150" s="88">
        <f>Tbl_Restricciones[[#This Row],[Precio unitario (€)]]-Tbl_Restricciones[[#This Row],[Coste unitario (€)]]</f>
        <v>30.824499999999993</v>
      </c>
      <c r="H150" s="93">
        <v>430</v>
      </c>
      <c r="I150" s="88">
        <f>Tbl_Restricciones[[#This Row],[Unidades pedidas]]*Tbl_Restricciones[[#This Row],[Beneficio unitario (€)]]</f>
        <v>13254.534999999998</v>
      </c>
      <c r="J150" s="133">
        <f>Tbl_Restricciones[[#This Row],[Beneficio unitario (€)]]*Tbl_Restricciones[[#This Row],[Unidades a exportar]]</f>
        <v>13254.534999999998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</row>
    <row r="151" spans="1:131" ht="17" x14ac:dyDescent="0.25">
      <c r="A151" s="117" t="s">
        <v>22</v>
      </c>
      <c r="B151" s="8" t="s">
        <v>18</v>
      </c>
      <c r="C151" s="87">
        <f xml:space="preserve"> AVERAGEIFS('1_Datos'!E:E, '1_Datos'!B:B, A151, '1_Datos'!C:C, B151)</f>
        <v>137.61000000000001</v>
      </c>
      <c r="D151" s="87">
        <f t="shared" si="3"/>
        <v>89.446500000000015</v>
      </c>
      <c r="E151" s="127">
        <v>440</v>
      </c>
      <c r="F151" s="127">
        <v>410</v>
      </c>
      <c r="G151" s="111">
        <f>Tbl_Restricciones[[#This Row],[Precio unitario (€)]]-Tbl_Restricciones[[#This Row],[Coste unitario (€)]]</f>
        <v>48.163499999999999</v>
      </c>
      <c r="H151" s="112">
        <v>440</v>
      </c>
      <c r="I151" s="111">
        <f>Tbl_Restricciones[[#This Row],[Unidades pedidas]]*Tbl_Restricciones[[#This Row],[Beneficio unitario (€)]]</f>
        <v>21191.94</v>
      </c>
      <c r="J151" s="132">
        <f>Tbl_Restricciones[[#This Row],[Beneficio unitario (€)]]*Tbl_Restricciones[[#This Row],[Unidades a exportar]]</f>
        <v>21191.94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</row>
    <row r="152" spans="1:131" ht="17" x14ac:dyDescent="0.25">
      <c r="A152" s="117" t="s">
        <v>22</v>
      </c>
      <c r="B152" s="8" t="s">
        <v>20</v>
      </c>
      <c r="C152" s="87">
        <f xml:space="preserve"> AVERAGEIFS('1_Datos'!E:E, '1_Datos'!B:B, A152, '1_Datos'!C:C, B152)</f>
        <v>127.88</v>
      </c>
      <c r="D152" s="87">
        <f t="shared" si="3"/>
        <v>83.122</v>
      </c>
      <c r="E152" s="127">
        <v>410</v>
      </c>
      <c r="F152" s="127">
        <v>385</v>
      </c>
      <c r="G152" s="88">
        <f>Tbl_Restricciones[[#This Row],[Precio unitario (€)]]-Tbl_Restricciones[[#This Row],[Coste unitario (€)]]</f>
        <v>44.757999999999996</v>
      </c>
      <c r="H152" s="93">
        <v>410</v>
      </c>
      <c r="I152" s="88">
        <f>Tbl_Restricciones[[#This Row],[Unidades pedidas]]*Tbl_Restricciones[[#This Row],[Beneficio unitario (€)]]</f>
        <v>18350.78</v>
      </c>
      <c r="J152" s="133">
        <f>Tbl_Restricciones[[#This Row],[Beneficio unitario (€)]]*Tbl_Restricciones[[#This Row],[Unidades a exportar]]</f>
        <v>18350.78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</row>
    <row r="153" spans="1:131" ht="17" x14ac:dyDescent="0.25">
      <c r="A153" s="117" t="s">
        <v>22</v>
      </c>
      <c r="B153" s="8" t="s">
        <v>13</v>
      </c>
      <c r="C153" s="87">
        <f xml:space="preserve"> AVERAGEIFS('1_Datos'!E:E, '1_Datos'!B:B, A153, '1_Datos'!C:C, B153)</f>
        <v>85.534999999999997</v>
      </c>
      <c r="D153" s="87">
        <f t="shared" si="3"/>
        <v>55.597749999999998</v>
      </c>
      <c r="E153" s="127">
        <v>450</v>
      </c>
      <c r="F153" s="127">
        <v>420</v>
      </c>
      <c r="G153" s="111">
        <f>Tbl_Restricciones[[#This Row],[Precio unitario (€)]]-Tbl_Restricciones[[#This Row],[Coste unitario (€)]]</f>
        <v>29.937249999999999</v>
      </c>
      <c r="H153" s="112">
        <v>450</v>
      </c>
      <c r="I153" s="111">
        <f>Tbl_Restricciones[[#This Row],[Unidades pedidas]]*Tbl_Restricciones[[#This Row],[Beneficio unitario (€)]]</f>
        <v>13471.762499999999</v>
      </c>
      <c r="J153" s="132">
        <f>Tbl_Restricciones[[#This Row],[Beneficio unitario (€)]]*Tbl_Restricciones[[#This Row],[Unidades a exportar]]</f>
        <v>13471.762499999999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</row>
    <row r="154" spans="1:131" ht="17" x14ac:dyDescent="0.25">
      <c r="A154" s="117" t="s">
        <v>22</v>
      </c>
      <c r="B154" s="8" t="s">
        <v>16</v>
      </c>
      <c r="C154" s="87">
        <f xml:space="preserve"> AVERAGEIFS('1_Datos'!E:E, '1_Datos'!B:B, A154, '1_Datos'!C:C, B154)</f>
        <v>123.58</v>
      </c>
      <c r="D154" s="87">
        <f t="shared" si="3"/>
        <v>80.326999999999998</v>
      </c>
      <c r="E154" s="127">
        <v>420</v>
      </c>
      <c r="F154" s="127">
        <v>390</v>
      </c>
      <c r="G154" s="88">
        <f>Tbl_Restricciones[[#This Row],[Precio unitario (€)]]-Tbl_Restricciones[[#This Row],[Coste unitario (€)]]</f>
        <v>43.253</v>
      </c>
      <c r="H154" s="93">
        <v>420</v>
      </c>
      <c r="I154" s="88">
        <f>Tbl_Restricciones[[#This Row],[Unidades pedidas]]*Tbl_Restricciones[[#This Row],[Beneficio unitario (€)]]</f>
        <v>18166.259999999998</v>
      </c>
      <c r="J154" s="133">
        <f>Tbl_Restricciones[[#This Row],[Beneficio unitario (€)]]*Tbl_Restricciones[[#This Row],[Unidades a exportar]]</f>
        <v>18166.259999999998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 spans="1:131" ht="17" x14ac:dyDescent="0.25">
      <c r="A155" s="117" t="s">
        <v>22</v>
      </c>
      <c r="B155" s="8" t="s">
        <v>14</v>
      </c>
      <c r="C155" s="87">
        <f xml:space="preserve"> AVERAGEIFS('1_Datos'!E:E, '1_Datos'!B:B, A155, '1_Datos'!C:C, B155)</f>
        <v>142.97999999999999</v>
      </c>
      <c r="D155" s="87">
        <f t="shared" si="3"/>
        <v>92.936999999999998</v>
      </c>
      <c r="E155" s="127">
        <v>390</v>
      </c>
      <c r="F155" s="127">
        <v>365</v>
      </c>
      <c r="G155" s="111">
        <f>Tbl_Restricciones[[#This Row],[Precio unitario (€)]]-Tbl_Restricciones[[#This Row],[Coste unitario (€)]]</f>
        <v>50.042999999999992</v>
      </c>
      <c r="H155" s="112">
        <v>390</v>
      </c>
      <c r="I155" s="111">
        <f>Tbl_Restricciones[[#This Row],[Unidades pedidas]]*Tbl_Restricciones[[#This Row],[Beneficio unitario (€)]]</f>
        <v>19516.769999999997</v>
      </c>
      <c r="J155" s="132">
        <f>Tbl_Restricciones[[#This Row],[Beneficio unitario (€)]]*Tbl_Restricciones[[#This Row],[Unidades a exportar]]</f>
        <v>19516.769999999997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 spans="1:131" ht="17" x14ac:dyDescent="0.25">
      <c r="A156" s="117" t="s">
        <v>22</v>
      </c>
      <c r="B156" s="8" t="s">
        <v>19</v>
      </c>
      <c r="C156" s="87">
        <f xml:space="preserve"> AVERAGEIFS('1_Datos'!E:E, '1_Datos'!B:B, A156, '1_Datos'!C:C, B156)</f>
        <v>138.76</v>
      </c>
      <c r="D156" s="87">
        <f t="shared" si="3"/>
        <v>90.194000000000003</v>
      </c>
      <c r="E156" s="127">
        <v>400</v>
      </c>
      <c r="F156" s="127">
        <v>375</v>
      </c>
      <c r="G156" s="88">
        <f>Tbl_Restricciones[[#This Row],[Precio unitario (€)]]-Tbl_Restricciones[[#This Row],[Coste unitario (€)]]</f>
        <v>48.565999999999988</v>
      </c>
      <c r="H156" s="93">
        <v>400</v>
      </c>
      <c r="I156" s="88">
        <f>Tbl_Restricciones[[#This Row],[Unidades pedidas]]*Tbl_Restricciones[[#This Row],[Beneficio unitario (€)]]</f>
        <v>19426.399999999994</v>
      </c>
      <c r="J156" s="133">
        <f>Tbl_Restricciones[[#This Row],[Beneficio unitario (€)]]*Tbl_Restricciones[[#This Row],[Unidades a exportar]]</f>
        <v>19426.399999999994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  <row r="157" spans="1:131" ht="17" x14ac:dyDescent="0.25">
      <c r="A157" s="117" t="s">
        <v>22</v>
      </c>
      <c r="B157" s="8" t="s">
        <v>21</v>
      </c>
      <c r="C157" s="87">
        <f xml:space="preserve"> AVERAGEIFS('1_Datos'!E:E, '1_Datos'!B:B, A157, '1_Datos'!C:C, B157)</f>
        <v>103.75666666666666</v>
      </c>
      <c r="D157" s="87">
        <f t="shared" si="3"/>
        <v>67.441833333333335</v>
      </c>
      <c r="E157" s="127">
        <v>430</v>
      </c>
      <c r="F157" s="127">
        <v>400</v>
      </c>
      <c r="G157" s="111">
        <f>Tbl_Restricciones[[#This Row],[Precio unitario (€)]]-Tbl_Restricciones[[#This Row],[Coste unitario (€)]]</f>
        <v>36.314833333333326</v>
      </c>
      <c r="H157" s="112">
        <v>430</v>
      </c>
      <c r="I157" s="111">
        <f>Tbl_Restricciones[[#This Row],[Unidades pedidas]]*Tbl_Restricciones[[#This Row],[Beneficio unitario (€)]]</f>
        <v>15615.37833333333</v>
      </c>
      <c r="J157" s="132">
        <f>Tbl_Restricciones[[#This Row],[Beneficio unitario (€)]]*Tbl_Restricciones[[#This Row],[Unidades a exportar]]</f>
        <v>15615.37833333333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</row>
    <row r="158" spans="1:131" ht="17" x14ac:dyDescent="0.25">
      <c r="A158" s="117" t="s">
        <v>22</v>
      </c>
      <c r="B158" s="8" t="s">
        <v>11</v>
      </c>
      <c r="C158" s="87">
        <f xml:space="preserve"> AVERAGEIFS('1_Datos'!E:E, '1_Datos'!B:B, A158, '1_Datos'!C:C, B158)</f>
        <v>65.86</v>
      </c>
      <c r="D158" s="87">
        <f t="shared" si="3"/>
        <v>42.809000000000005</v>
      </c>
      <c r="E158" s="127">
        <v>460</v>
      </c>
      <c r="F158" s="127">
        <v>430</v>
      </c>
      <c r="G158" s="88">
        <f>Tbl_Restricciones[[#This Row],[Precio unitario (€)]]-Tbl_Restricciones[[#This Row],[Coste unitario (€)]]</f>
        <v>23.050999999999995</v>
      </c>
      <c r="H158" s="93">
        <v>205</v>
      </c>
      <c r="I158" s="88">
        <f>Tbl_Restricciones[[#This Row],[Unidades pedidas]]*Tbl_Restricciones[[#This Row],[Beneficio unitario (€)]]</f>
        <v>10603.459999999997</v>
      </c>
      <c r="J158" s="133">
        <f>Tbl_Restricciones[[#This Row],[Beneficio unitario (€)]]*Tbl_Restricciones[[#This Row],[Unidades a exportar]]</f>
        <v>4725.454999999999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</row>
    <row r="159" spans="1:131" ht="17" x14ac:dyDescent="0.25">
      <c r="A159" s="117" t="s">
        <v>23</v>
      </c>
      <c r="B159" s="8" t="s">
        <v>10</v>
      </c>
      <c r="C159" s="87">
        <f xml:space="preserve"> AVERAGEIFS('1_Datos'!E:E, '1_Datos'!B:B, A159, '1_Datos'!C:C, B159)</f>
        <v>149.80000000000001</v>
      </c>
      <c r="D159" s="87">
        <f t="shared" si="3"/>
        <v>97.37</v>
      </c>
      <c r="E159" s="127">
        <v>410</v>
      </c>
      <c r="F159" s="127">
        <v>380</v>
      </c>
      <c r="G159" s="111">
        <f>Tbl_Restricciones[[#This Row],[Precio unitario (€)]]-Tbl_Restricciones[[#This Row],[Coste unitario (€)]]</f>
        <v>52.430000000000007</v>
      </c>
      <c r="H159" s="112">
        <v>410</v>
      </c>
      <c r="I159" s="111">
        <f>Tbl_Restricciones[[#This Row],[Unidades pedidas]]*Tbl_Restricciones[[#This Row],[Beneficio unitario (€)]]</f>
        <v>21496.300000000003</v>
      </c>
      <c r="J159" s="132">
        <f>Tbl_Restricciones[[#This Row],[Beneficio unitario (€)]]*Tbl_Restricciones[[#This Row],[Unidades a exportar]]</f>
        <v>21496.300000000003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</row>
    <row r="160" spans="1:131" ht="17" x14ac:dyDescent="0.25">
      <c r="A160" s="117" t="s">
        <v>23</v>
      </c>
      <c r="B160" s="8" t="s">
        <v>18</v>
      </c>
      <c r="C160" s="87">
        <f xml:space="preserve"> AVERAGEIFS('1_Datos'!E:E, '1_Datos'!B:B, A160, '1_Datos'!C:C, B160)</f>
        <v>143.685</v>
      </c>
      <c r="D160" s="87">
        <f t="shared" ref="D160:D167" si="5">0.65*C160</f>
        <v>93.395250000000004</v>
      </c>
      <c r="E160" s="127">
        <v>440</v>
      </c>
      <c r="F160" s="127">
        <v>410</v>
      </c>
      <c r="G160" s="88">
        <f>Tbl_Restricciones[[#This Row],[Precio unitario (€)]]-Tbl_Restricciones[[#This Row],[Coste unitario (€)]]</f>
        <v>50.289749999999998</v>
      </c>
      <c r="H160" s="93">
        <v>440</v>
      </c>
      <c r="I160" s="88">
        <f>Tbl_Restricciones[[#This Row],[Unidades pedidas]]*Tbl_Restricciones[[#This Row],[Beneficio unitario (€)]]</f>
        <v>22127.489999999998</v>
      </c>
      <c r="J160" s="133">
        <f>Tbl_Restricciones[[#This Row],[Beneficio unitario (€)]]*Tbl_Restricciones[[#This Row],[Unidades a exportar]]</f>
        <v>22127.489999999998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</row>
    <row r="161" spans="1:131" ht="17" x14ac:dyDescent="0.25">
      <c r="A161" s="117" t="s">
        <v>23</v>
      </c>
      <c r="B161" s="8" t="s">
        <v>20</v>
      </c>
      <c r="C161" s="87">
        <f xml:space="preserve"> AVERAGEIFS('1_Datos'!E:E, '1_Datos'!B:B, A161, '1_Datos'!C:C, B161)</f>
        <v>212.38</v>
      </c>
      <c r="D161" s="87">
        <f t="shared" si="5"/>
        <v>138.047</v>
      </c>
      <c r="E161" s="127">
        <v>390</v>
      </c>
      <c r="F161" s="127">
        <v>360</v>
      </c>
      <c r="G161" s="111">
        <f>Tbl_Restricciones[[#This Row],[Precio unitario (€)]]-Tbl_Restricciones[[#This Row],[Coste unitario (€)]]</f>
        <v>74.332999999999998</v>
      </c>
      <c r="H161" s="112">
        <v>390</v>
      </c>
      <c r="I161" s="111">
        <f>Tbl_Restricciones[[#This Row],[Unidades pedidas]]*Tbl_Restricciones[[#This Row],[Beneficio unitario (€)]]</f>
        <v>28989.87</v>
      </c>
      <c r="J161" s="132">
        <f>Tbl_Restricciones[[#This Row],[Beneficio unitario (€)]]*Tbl_Restricciones[[#This Row],[Unidades a exportar]]</f>
        <v>28989.87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</row>
    <row r="162" spans="1:131" ht="17" x14ac:dyDescent="0.25">
      <c r="A162" s="117" t="s">
        <v>23</v>
      </c>
      <c r="B162" s="8" t="s">
        <v>13</v>
      </c>
      <c r="C162" s="87">
        <f xml:space="preserve"> AVERAGEIFS('1_Datos'!E:E, '1_Datos'!B:B, A162, '1_Datos'!C:C, B162)</f>
        <v>155.73000000000002</v>
      </c>
      <c r="D162" s="87">
        <f t="shared" si="5"/>
        <v>101.22450000000002</v>
      </c>
      <c r="E162" s="127">
        <v>430</v>
      </c>
      <c r="F162" s="127">
        <v>400</v>
      </c>
      <c r="G162" s="88">
        <f>Tbl_Restricciones[[#This Row],[Precio unitario (€)]]-Tbl_Restricciones[[#This Row],[Coste unitario (€)]]</f>
        <v>54.505499999999998</v>
      </c>
      <c r="H162" s="93">
        <v>430</v>
      </c>
      <c r="I162" s="88">
        <f>Tbl_Restricciones[[#This Row],[Unidades pedidas]]*Tbl_Restricciones[[#This Row],[Beneficio unitario (€)]]</f>
        <v>23437.364999999998</v>
      </c>
      <c r="J162" s="133">
        <f>Tbl_Restricciones[[#This Row],[Beneficio unitario (€)]]*Tbl_Restricciones[[#This Row],[Unidades a exportar]]</f>
        <v>23437.364999999998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</row>
    <row r="163" spans="1:131" ht="17" x14ac:dyDescent="0.25">
      <c r="A163" s="117" t="s">
        <v>23</v>
      </c>
      <c r="B163" s="8" t="s">
        <v>16</v>
      </c>
      <c r="C163" s="87">
        <f xml:space="preserve"> AVERAGEIFS('1_Datos'!E:E, '1_Datos'!B:B, A163, '1_Datos'!C:C, B163)</f>
        <v>204.75</v>
      </c>
      <c r="D163" s="87">
        <f t="shared" si="5"/>
        <v>133.08750000000001</v>
      </c>
      <c r="E163" s="127">
        <v>395</v>
      </c>
      <c r="F163" s="127">
        <v>370</v>
      </c>
      <c r="G163" s="111">
        <f>Tbl_Restricciones[[#This Row],[Precio unitario (€)]]-Tbl_Restricciones[[#This Row],[Coste unitario (€)]]</f>
        <v>71.662499999999994</v>
      </c>
      <c r="H163" s="112">
        <v>395</v>
      </c>
      <c r="I163" s="111">
        <f>Tbl_Restricciones[[#This Row],[Unidades pedidas]]*Tbl_Restricciones[[#This Row],[Beneficio unitario (€)]]</f>
        <v>28306.687499999996</v>
      </c>
      <c r="J163" s="132">
        <f>Tbl_Restricciones[[#This Row],[Beneficio unitario (€)]]*Tbl_Restricciones[[#This Row],[Unidades a exportar]]</f>
        <v>28306.687499999996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</row>
    <row r="164" spans="1:131" ht="17" x14ac:dyDescent="0.25">
      <c r="A164" s="117" t="s">
        <v>23</v>
      </c>
      <c r="B164" s="8" t="s">
        <v>8</v>
      </c>
      <c r="C164" s="87">
        <f xml:space="preserve"> AVERAGEIFS('1_Datos'!E:E, '1_Datos'!B:B, A164, '1_Datos'!C:C, B164)</f>
        <v>181.72</v>
      </c>
      <c r="D164" s="87">
        <f t="shared" si="5"/>
        <v>118.11800000000001</v>
      </c>
      <c r="E164" s="127">
        <v>400</v>
      </c>
      <c r="F164" s="127">
        <v>375</v>
      </c>
      <c r="G164" s="88">
        <f>Tbl_Restricciones[[#This Row],[Precio unitario (€)]]-Tbl_Restricciones[[#This Row],[Coste unitario (€)]]</f>
        <v>63.60199999999999</v>
      </c>
      <c r="H164" s="93">
        <v>400</v>
      </c>
      <c r="I164" s="88">
        <f>Tbl_Restricciones[[#This Row],[Unidades pedidas]]*Tbl_Restricciones[[#This Row],[Beneficio unitario (€)]]</f>
        <v>25440.799999999996</v>
      </c>
      <c r="J164" s="133">
        <f>Tbl_Restricciones[[#This Row],[Beneficio unitario (€)]]*Tbl_Restricciones[[#This Row],[Unidades a exportar]]</f>
        <v>25440.799999999996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</row>
    <row r="165" spans="1:131" ht="17" x14ac:dyDescent="0.25">
      <c r="A165" s="117" t="s">
        <v>23</v>
      </c>
      <c r="B165" s="8" t="s">
        <v>14</v>
      </c>
      <c r="C165" s="87">
        <f xml:space="preserve"> AVERAGEIFS('1_Datos'!E:E, '1_Datos'!B:B, A165, '1_Datos'!C:C, B165)</f>
        <v>135.88333333333335</v>
      </c>
      <c r="D165" s="87">
        <f t="shared" si="5"/>
        <v>88.324166666666684</v>
      </c>
      <c r="E165" s="127">
        <v>420</v>
      </c>
      <c r="F165" s="127">
        <v>390</v>
      </c>
      <c r="G165" s="111">
        <f>Tbl_Restricciones[[#This Row],[Precio unitario (€)]]-Tbl_Restricciones[[#This Row],[Coste unitario (€)]]</f>
        <v>47.55916666666667</v>
      </c>
      <c r="H165" s="112">
        <v>420</v>
      </c>
      <c r="I165" s="111">
        <f>Tbl_Restricciones[[#This Row],[Unidades pedidas]]*Tbl_Restricciones[[#This Row],[Beneficio unitario (€)]]</f>
        <v>19974.850000000002</v>
      </c>
      <c r="J165" s="132">
        <f>Tbl_Restricciones[[#This Row],[Beneficio unitario (€)]]*Tbl_Restricciones[[#This Row],[Unidades a exportar]]</f>
        <v>19974.850000000002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</row>
    <row r="166" spans="1:131" ht="17" x14ac:dyDescent="0.25">
      <c r="A166" s="117" t="s">
        <v>23</v>
      </c>
      <c r="B166" s="8" t="s">
        <v>21</v>
      </c>
      <c r="C166" s="87">
        <f xml:space="preserve"> AVERAGEIFS('1_Datos'!E:E, '1_Datos'!B:B, A166, '1_Datos'!C:C, B166)</f>
        <v>219.55</v>
      </c>
      <c r="D166" s="87">
        <f t="shared" si="5"/>
        <v>142.70750000000001</v>
      </c>
      <c r="E166" s="127">
        <v>385</v>
      </c>
      <c r="F166" s="127">
        <v>355</v>
      </c>
      <c r="G166" s="88">
        <f>Tbl_Restricciones[[#This Row],[Precio unitario (€)]]-Tbl_Restricciones[[#This Row],[Coste unitario (€)]]</f>
        <v>76.842500000000001</v>
      </c>
      <c r="H166" s="93">
        <v>385</v>
      </c>
      <c r="I166" s="88">
        <f>Tbl_Restricciones[[#This Row],[Unidades pedidas]]*Tbl_Restricciones[[#This Row],[Beneficio unitario (€)]]</f>
        <v>29584.362499999999</v>
      </c>
      <c r="J166" s="133">
        <f>Tbl_Restricciones[[#This Row],[Beneficio unitario (€)]]*Tbl_Restricciones[[#This Row],[Unidades a exportar]]</f>
        <v>29584.362499999999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</row>
    <row r="167" spans="1:131" ht="17" x14ac:dyDescent="0.25">
      <c r="A167" s="118" t="s">
        <v>23</v>
      </c>
      <c r="B167" s="12" t="s">
        <v>11</v>
      </c>
      <c r="C167" s="119">
        <f xml:space="preserve"> AVERAGEIFS('1_Datos'!E:E, '1_Datos'!B:B, A167, '1_Datos'!C:C, B167)</f>
        <v>135.51</v>
      </c>
      <c r="D167" s="119">
        <f t="shared" si="5"/>
        <v>88.081499999999991</v>
      </c>
      <c r="E167" s="128">
        <v>405</v>
      </c>
      <c r="F167" s="128">
        <v>375</v>
      </c>
      <c r="G167" s="120">
        <f>Tbl_Restricciones[[#This Row],[Precio unitario (€)]]-Tbl_Restricciones[[#This Row],[Coste unitario (€)]]</f>
        <v>47.4285</v>
      </c>
      <c r="H167" s="121">
        <v>145</v>
      </c>
      <c r="I167" s="120">
        <f>Tbl_Restricciones[[#This Row],[Unidades pedidas]]*Tbl_Restricciones[[#This Row],[Beneficio unitario (€)]]</f>
        <v>19208.5425</v>
      </c>
      <c r="J167" s="134">
        <f>Tbl_Restricciones[[#This Row],[Beneficio unitario (€)]]*Tbl_Restricciones[[#This Row],[Unidades a exportar]]</f>
        <v>6877.1324999999997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</row>
    <row r="168" spans="1:131" ht="1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</row>
    <row r="169" spans="1:131" ht="1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</row>
    <row r="170" spans="1:131" ht="1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</row>
    <row r="171" spans="1:131" ht="1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</row>
    <row r="172" spans="1:131" ht="23" x14ac:dyDescent="0.3">
      <c r="A172" s="185" t="s">
        <v>213</v>
      </c>
      <c r="B172" s="185"/>
      <c r="C172" s="185"/>
      <c r="D172" s="185"/>
      <c r="E172" s="185"/>
      <c r="F172" s="185"/>
      <c r="G172" s="185"/>
      <c r="H172" s="185"/>
      <c r="I172" s="185"/>
      <c r="J172" s="18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</row>
    <row r="173" spans="1:131" ht="1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</row>
    <row r="174" spans="1:131" ht="17" x14ac:dyDescent="0.25">
      <c r="A174" s="1"/>
      <c r="B174" s="1"/>
      <c r="C174" s="1"/>
      <c r="D174" s="209" t="s">
        <v>214</v>
      </c>
      <c r="E174" s="210"/>
      <c r="F174" s="210"/>
      <c r="G174" s="210"/>
      <c r="H174" s="21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</row>
    <row r="175" spans="1:131" ht="17" x14ac:dyDescent="0.25">
      <c r="A175" s="1"/>
      <c r="B175" s="1"/>
      <c r="C175" s="1"/>
      <c r="D175" s="200" t="s">
        <v>215</v>
      </c>
      <c r="E175" s="201"/>
      <c r="F175" s="201"/>
      <c r="G175" s="201"/>
      <c r="H175" s="20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</row>
    <row r="176" spans="1:131" ht="17" x14ac:dyDescent="0.25">
      <c r="A176" s="1"/>
      <c r="B176" s="1"/>
      <c r="C176" s="1"/>
      <c r="D176" s="200" t="s">
        <v>216</v>
      </c>
      <c r="E176" s="201"/>
      <c r="F176" s="201"/>
      <c r="G176" s="201"/>
      <c r="H176" s="20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</row>
    <row r="177" spans="1:131" ht="17" x14ac:dyDescent="0.25">
      <c r="A177" s="1"/>
      <c r="B177" s="1"/>
      <c r="C177" s="1"/>
      <c r="D177" s="200" t="s">
        <v>217</v>
      </c>
      <c r="E177" s="201"/>
      <c r="F177" s="201"/>
      <c r="G177" s="201"/>
      <c r="H177" s="20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</row>
    <row r="178" spans="1:131" ht="17" x14ac:dyDescent="0.25">
      <c r="A178" s="1"/>
      <c r="B178" s="1"/>
      <c r="C178" s="1"/>
      <c r="D178" s="203" t="s">
        <v>218</v>
      </c>
      <c r="E178" s="204"/>
      <c r="F178" s="204"/>
      <c r="G178" s="204"/>
      <c r="H178" s="205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</row>
    <row r="179" spans="1:131" ht="17" x14ac:dyDescent="0.25">
      <c r="A179" s="1"/>
      <c r="B179" s="1"/>
      <c r="C179" s="1"/>
      <c r="D179" s="203" t="s">
        <v>219</v>
      </c>
      <c r="E179" s="204"/>
      <c r="F179" s="204"/>
      <c r="G179" s="204"/>
      <c r="H179" s="205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</row>
    <row r="180" spans="1:131" ht="17" x14ac:dyDescent="0.25">
      <c r="A180" s="1"/>
      <c r="B180" s="1"/>
      <c r="C180" s="1"/>
      <c r="D180" s="203" t="s">
        <v>220</v>
      </c>
      <c r="E180" s="204"/>
      <c r="F180" s="204"/>
      <c r="G180" s="204"/>
      <c r="H180" s="205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</row>
    <row r="181" spans="1:131" ht="17" x14ac:dyDescent="0.25">
      <c r="A181" s="1"/>
      <c r="B181" s="1"/>
      <c r="C181" s="1"/>
      <c r="D181" s="197" t="s">
        <v>221</v>
      </c>
      <c r="E181" s="198"/>
      <c r="F181" s="198"/>
      <c r="G181" s="198"/>
      <c r="H181" s="199"/>
      <c r="I181" s="1"/>
      <c r="J181" s="1"/>
      <c r="K181" s="1"/>
      <c r="L181" s="1"/>
      <c r="M181" s="1"/>
      <c r="N181" s="196" t="s">
        <v>183</v>
      </c>
      <c r="O181" s="196"/>
      <c r="P181" s="196"/>
      <c r="Q181" s="196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</row>
    <row r="182" spans="1:131" ht="17" x14ac:dyDescent="0.25">
      <c r="A182" s="1"/>
      <c r="B182" s="1"/>
      <c r="C182" s="1"/>
      <c r="D182" s="122"/>
      <c r="E182" s="122"/>
      <c r="F182" s="122"/>
      <c r="G182" s="122"/>
      <c r="H182" s="12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</row>
    <row r="183" spans="1:131" ht="17" x14ac:dyDescent="0.25">
      <c r="A183" s="129" t="s">
        <v>3</v>
      </c>
      <c r="B183" s="115" t="s">
        <v>4</v>
      </c>
      <c r="C183" s="115" t="s">
        <v>173</v>
      </c>
      <c r="D183" s="115" t="s">
        <v>174</v>
      </c>
      <c r="E183" s="115" t="s">
        <v>172</v>
      </c>
      <c r="F183" s="115" t="s">
        <v>186</v>
      </c>
      <c r="G183" s="115" t="s">
        <v>175</v>
      </c>
      <c r="H183" s="115" t="s">
        <v>177</v>
      </c>
      <c r="I183" s="115" t="s">
        <v>176</v>
      </c>
      <c r="J183" s="115" t="s">
        <v>178</v>
      </c>
      <c r="K183" s="1"/>
      <c r="L183" s="78" t="s">
        <v>179</v>
      </c>
      <c r="M183" s="1"/>
      <c r="N183" s="195" t="s">
        <v>180</v>
      </c>
      <c r="O183" s="195"/>
      <c r="P183" s="78" t="s">
        <v>181</v>
      </c>
      <c r="Q183" s="78" t="s">
        <v>182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</row>
    <row r="184" spans="1:131" ht="17" x14ac:dyDescent="0.25">
      <c r="A184" s="86" t="s">
        <v>12</v>
      </c>
      <c r="B184" s="86" t="s">
        <v>10</v>
      </c>
      <c r="C184" s="135">
        <v>89.69</v>
      </c>
      <c r="D184" s="135">
        <v>58.3</v>
      </c>
      <c r="E184" s="137">
        <v>130</v>
      </c>
      <c r="F184" s="136">
        <v>180</v>
      </c>
      <c r="G184" s="111">
        <f>Tbl_RentabilidadesAjustadas[[#This Row],[Precio unitario (€)]]-Tbl_RentabilidadesAjustadas[[#This Row],[Coste unitario (€)]]</f>
        <v>31.39</v>
      </c>
      <c r="H184" s="130">
        <v>130</v>
      </c>
      <c r="I184" s="88">
        <f>Tbl_RentabilidadesAjustadas[[#This Row],[Unidades pedidas]]*Tbl_RentabilidadesAjustadas[[#This Row],[Beneficio unitario (€)]]</f>
        <v>4080.7000000000003</v>
      </c>
      <c r="J184" s="131">
        <f>Tbl_RentabilidadesAjustadas[[#This Row],[Beneficio unitario (€)]]*Tbl_RentabilidadesAjustadas[[#This Row],[Unidades a exportar]]</f>
        <v>4080.7000000000003</v>
      </c>
      <c r="K184" s="1"/>
      <c r="L184" s="131">
        <f>SUM(Tbl_RentabilidadesAjustadas[Beneficio real (€)])</f>
        <v>354345.33999999985</v>
      </c>
      <c r="M184" s="1"/>
      <c r="N184" s="89" t="s">
        <v>12</v>
      </c>
      <c r="O184" s="94">
        <f>SUMIF(Tbl_RentabilidadesAjustadas[Producto], N184, Tbl_RentabilidadesAjustadas[Unidades a exportar])</f>
        <v>1550</v>
      </c>
      <c r="P184" s="85">
        <f>SUMIF(Tbl_RentabilidadesAjustadas[Producto], N184, Tbl_RentabilidadesAjustadas[Cantidad máxima])</f>
        <v>1883</v>
      </c>
      <c r="Q184" s="124">
        <f>O184/P184</f>
        <v>0.8231545406266596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</row>
    <row r="185" spans="1:131" ht="17" x14ac:dyDescent="0.25">
      <c r="A185" s="8" t="s">
        <v>12</v>
      </c>
      <c r="B185" s="8" t="s">
        <v>18</v>
      </c>
      <c r="C185" s="135">
        <v>151.84</v>
      </c>
      <c r="D185" s="135">
        <v>98.69</v>
      </c>
      <c r="E185" s="137">
        <v>150</v>
      </c>
      <c r="F185" s="136">
        <v>164</v>
      </c>
      <c r="G185" s="88">
        <f>Tbl_RentabilidadesAjustadas[[#This Row],[Precio unitario (€)]]-Tbl_RentabilidadesAjustadas[[#This Row],[Coste unitario (€)]]</f>
        <v>53.150000000000006</v>
      </c>
      <c r="H185" s="130">
        <v>150</v>
      </c>
      <c r="I185" s="88">
        <f>Tbl_RentabilidadesAjustadas[[#This Row],[Unidades pedidas]]*Tbl_RentabilidadesAjustadas[[#This Row],[Beneficio unitario (€)]]</f>
        <v>7972.5000000000009</v>
      </c>
      <c r="J185" s="131">
        <f>Tbl_RentabilidadesAjustadas[[#This Row],[Beneficio unitario (€)]]*Tbl_RentabilidadesAjustadas[[#This Row],[Unidades a exportar]]</f>
        <v>7972.5000000000009</v>
      </c>
      <c r="K185" s="1"/>
      <c r="L185" s="1"/>
      <c r="M185" s="1"/>
      <c r="N185" s="90" t="s">
        <v>7</v>
      </c>
      <c r="O185" s="94">
        <f>SUMIF(Tbl_RentabilidadesAjustadas[Producto], N185, Tbl_RentabilidadesAjustadas[Unidades a exportar])</f>
        <v>1470</v>
      </c>
      <c r="P185" s="85">
        <f>SUMIF(Tbl_RentabilidadesAjustadas[Producto], N185, Tbl_RentabilidadesAjustadas[Cantidad máxima])</f>
        <v>1983</v>
      </c>
      <c r="Q185" s="125">
        <f t="shared" ref="Q185:Q191" si="6">O185/P185</f>
        <v>0.74130105900151289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</row>
    <row r="186" spans="1:131" ht="17" x14ac:dyDescent="0.25">
      <c r="A186" s="86" t="s">
        <v>12</v>
      </c>
      <c r="B186" s="86" t="s">
        <v>20</v>
      </c>
      <c r="C186" s="135">
        <v>131.13</v>
      </c>
      <c r="D186" s="135">
        <v>85.23</v>
      </c>
      <c r="E186" s="137">
        <v>180</v>
      </c>
      <c r="F186" s="136">
        <v>190</v>
      </c>
      <c r="G186" s="111">
        <f>Tbl_RentabilidadesAjustadas[[#This Row],[Precio unitario (€)]]-Tbl_RentabilidadesAjustadas[[#This Row],[Coste unitario (€)]]</f>
        <v>45.899999999999991</v>
      </c>
      <c r="H186" s="130">
        <v>180</v>
      </c>
      <c r="I186" s="88">
        <f>Tbl_RentabilidadesAjustadas[[#This Row],[Unidades pedidas]]*Tbl_RentabilidadesAjustadas[[#This Row],[Beneficio unitario (€)]]</f>
        <v>8261.9999999999982</v>
      </c>
      <c r="J186" s="131">
        <f>Tbl_RentabilidadesAjustadas[[#This Row],[Beneficio unitario (€)]]*Tbl_RentabilidadesAjustadas[[#This Row],[Unidades a exportar]]</f>
        <v>8261.9999999999982</v>
      </c>
      <c r="K186" s="1"/>
      <c r="L186" s="1"/>
      <c r="M186" s="1"/>
      <c r="N186" s="90" t="s">
        <v>17</v>
      </c>
      <c r="O186" s="94">
        <f>SUMIF(Tbl_RentabilidadesAjustadas[Producto], N186, Tbl_RentabilidadesAjustadas[Unidades a exportar])</f>
        <v>950</v>
      </c>
      <c r="P186" s="85">
        <f>SUMIF(Tbl_RentabilidadesAjustadas[Producto], N186, Tbl_RentabilidadesAjustadas[Cantidad máxima])</f>
        <v>1690</v>
      </c>
      <c r="Q186" s="125">
        <f t="shared" si="6"/>
        <v>0.56213017751479288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</row>
    <row r="187" spans="1:131" ht="17" x14ac:dyDescent="0.25">
      <c r="A187" s="8" t="s">
        <v>12</v>
      </c>
      <c r="B187" s="8" t="s">
        <v>13</v>
      </c>
      <c r="C187" s="135">
        <v>192.89</v>
      </c>
      <c r="D187" s="135">
        <v>125.38</v>
      </c>
      <c r="E187" s="137">
        <v>120</v>
      </c>
      <c r="F187" s="136">
        <v>240</v>
      </c>
      <c r="G187" s="88">
        <f>Tbl_RentabilidadesAjustadas[[#This Row],[Precio unitario (€)]]-Tbl_RentabilidadesAjustadas[[#This Row],[Coste unitario (€)]]</f>
        <v>67.509999999999991</v>
      </c>
      <c r="H187" s="130">
        <v>120</v>
      </c>
      <c r="I187" s="88">
        <f>Tbl_RentabilidadesAjustadas[[#This Row],[Unidades pedidas]]*Tbl_RentabilidadesAjustadas[[#This Row],[Beneficio unitario (€)]]</f>
        <v>8101.1999999999989</v>
      </c>
      <c r="J187" s="131">
        <f>Tbl_RentabilidadesAjustadas[[#This Row],[Beneficio unitario (€)]]*Tbl_RentabilidadesAjustadas[[#This Row],[Unidades a exportar]]</f>
        <v>8101.1999999999989</v>
      </c>
      <c r="K187" s="1"/>
      <c r="L187" s="1"/>
      <c r="M187" s="1"/>
      <c r="N187" s="90" t="s">
        <v>24</v>
      </c>
      <c r="O187" s="94">
        <f>SUMIF(Tbl_RentabilidadesAjustadas[Producto], N187, Tbl_RentabilidadesAjustadas[Unidades a exportar])</f>
        <v>0</v>
      </c>
      <c r="P187" s="85">
        <f>SUMIF(Tbl_RentabilidadesAjustadas[Producto], N187, Tbl_RentabilidadesAjustadas[Cantidad máxima])</f>
        <v>1010</v>
      </c>
      <c r="Q187" s="125">
        <f t="shared" si="6"/>
        <v>0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</row>
    <row r="188" spans="1:131" ht="17" x14ac:dyDescent="0.25">
      <c r="A188" s="86" t="s">
        <v>12</v>
      </c>
      <c r="B188" s="86" t="s">
        <v>16</v>
      </c>
      <c r="C188" s="135">
        <v>157.11000000000001</v>
      </c>
      <c r="D188" s="135">
        <v>102.12</v>
      </c>
      <c r="E188" s="137">
        <v>200</v>
      </c>
      <c r="F188" s="136">
        <v>205</v>
      </c>
      <c r="G188" s="111">
        <f>Tbl_RentabilidadesAjustadas[[#This Row],[Precio unitario (€)]]-Tbl_RentabilidadesAjustadas[[#This Row],[Coste unitario (€)]]</f>
        <v>54.990000000000009</v>
      </c>
      <c r="H188" s="130">
        <v>200</v>
      </c>
      <c r="I188" s="88">
        <f>Tbl_RentabilidadesAjustadas[[#This Row],[Unidades pedidas]]*Tbl_RentabilidadesAjustadas[[#This Row],[Beneficio unitario (€)]]</f>
        <v>10998.000000000002</v>
      </c>
      <c r="J188" s="131">
        <f>Tbl_RentabilidadesAjustadas[[#This Row],[Beneficio unitario (€)]]*Tbl_RentabilidadesAjustadas[[#This Row],[Unidades a exportar]]</f>
        <v>10998.000000000002</v>
      </c>
      <c r="K188" s="1"/>
      <c r="L188" s="1"/>
      <c r="M188" s="1"/>
      <c r="N188" s="90" t="s">
        <v>15</v>
      </c>
      <c r="O188" s="94">
        <f>SUMIF(Tbl_RentabilidadesAjustadas[Producto], N188, Tbl_RentabilidadesAjustadas[Unidades a exportar])</f>
        <v>1200</v>
      </c>
      <c r="P188" s="85">
        <f>SUMIF(Tbl_RentabilidadesAjustadas[Producto], N188, Tbl_RentabilidadesAjustadas[Cantidad máxima])</f>
        <v>1515</v>
      </c>
      <c r="Q188" s="125">
        <f t="shared" si="6"/>
        <v>0.79207920792079212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</row>
    <row r="189" spans="1:131" ht="17" x14ac:dyDescent="0.25">
      <c r="A189" s="8" t="s">
        <v>12</v>
      </c>
      <c r="B189" s="8" t="s">
        <v>8</v>
      </c>
      <c r="C189" s="135">
        <v>84.2</v>
      </c>
      <c r="D189" s="135">
        <v>54.73</v>
      </c>
      <c r="E189" s="137">
        <v>155</v>
      </c>
      <c r="F189" s="136">
        <v>150</v>
      </c>
      <c r="G189" s="88">
        <f>Tbl_RentabilidadesAjustadas[[#This Row],[Precio unitario (€)]]-Tbl_RentabilidadesAjustadas[[#This Row],[Coste unitario (€)]]</f>
        <v>29.470000000000006</v>
      </c>
      <c r="H189" s="130">
        <v>155</v>
      </c>
      <c r="I189" s="88">
        <f>Tbl_RentabilidadesAjustadas[[#This Row],[Unidades pedidas]]*Tbl_RentabilidadesAjustadas[[#This Row],[Beneficio unitario (€)]]</f>
        <v>4567.8500000000013</v>
      </c>
      <c r="J189" s="131">
        <f>Tbl_RentabilidadesAjustadas[[#This Row],[Beneficio unitario (€)]]*Tbl_RentabilidadesAjustadas[[#This Row],[Unidades a exportar]]</f>
        <v>4567.8500000000013</v>
      </c>
      <c r="K189" s="1"/>
      <c r="L189" s="1"/>
      <c r="M189" s="1"/>
      <c r="N189" s="90" t="s">
        <v>9</v>
      </c>
      <c r="O189" s="94">
        <f>SUMIF(Tbl_RentabilidadesAjustadas[Producto], N189, Tbl_RentabilidadesAjustadas[Unidades a exportar])</f>
        <v>970</v>
      </c>
      <c r="P189" s="85">
        <f>SUMIF(Tbl_RentabilidadesAjustadas[Producto], N189, Tbl_RentabilidadesAjustadas[Cantidad máxima])</f>
        <v>970</v>
      </c>
      <c r="Q189" s="125">
        <f t="shared" si="6"/>
        <v>1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</row>
    <row r="190" spans="1:131" ht="17" x14ac:dyDescent="0.25">
      <c r="A190" s="86" t="s">
        <v>12</v>
      </c>
      <c r="B190" s="86" t="s">
        <v>14</v>
      </c>
      <c r="C190" s="135">
        <v>123.43</v>
      </c>
      <c r="D190" s="135">
        <v>80.23</v>
      </c>
      <c r="E190" s="137">
        <v>176</v>
      </c>
      <c r="F190" s="136">
        <v>176</v>
      </c>
      <c r="G190" s="111">
        <f>Tbl_RentabilidadesAjustadas[[#This Row],[Precio unitario (€)]]-Tbl_RentabilidadesAjustadas[[#This Row],[Coste unitario (€)]]</f>
        <v>43.2</v>
      </c>
      <c r="H190" s="130">
        <v>176</v>
      </c>
      <c r="I190" s="88">
        <f>Tbl_RentabilidadesAjustadas[[#This Row],[Unidades pedidas]]*Tbl_RentabilidadesAjustadas[[#This Row],[Beneficio unitario (€)]]</f>
        <v>7603.2000000000007</v>
      </c>
      <c r="J190" s="131">
        <f>Tbl_RentabilidadesAjustadas[[#This Row],[Beneficio unitario (€)]]*Tbl_RentabilidadesAjustadas[[#This Row],[Unidades a exportar]]</f>
        <v>7603.2000000000007</v>
      </c>
      <c r="K190" s="1"/>
      <c r="L190" s="1"/>
      <c r="M190" s="1"/>
      <c r="N190" s="90" t="s">
        <v>22</v>
      </c>
      <c r="O190" s="94">
        <f>SUMIF(Tbl_RentabilidadesAjustadas[Producto], N190, Tbl_RentabilidadesAjustadas[Unidades a exportar])</f>
        <v>0</v>
      </c>
      <c r="P190" s="85">
        <f>SUMIF(Tbl_RentabilidadesAjustadas[Producto], N190, Tbl_RentabilidadesAjustadas[Cantidad máxima])</f>
        <v>420</v>
      </c>
      <c r="Q190" s="125">
        <f t="shared" si="6"/>
        <v>0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</row>
    <row r="191" spans="1:131" ht="17" x14ac:dyDescent="0.25">
      <c r="A191" s="8" t="s">
        <v>12</v>
      </c>
      <c r="B191" s="8" t="s">
        <v>19</v>
      </c>
      <c r="C191" s="135">
        <v>128.12</v>
      </c>
      <c r="D191" s="135">
        <v>83.28</v>
      </c>
      <c r="E191" s="137">
        <v>140</v>
      </c>
      <c r="F191" s="136">
        <v>210</v>
      </c>
      <c r="G191" s="88">
        <f>Tbl_RentabilidadesAjustadas[[#This Row],[Precio unitario (€)]]-Tbl_RentabilidadesAjustadas[[#This Row],[Coste unitario (€)]]</f>
        <v>44.84</v>
      </c>
      <c r="H191" s="130">
        <v>140</v>
      </c>
      <c r="I191" s="88">
        <f>Tbl_RentabilidadesAjustadas[[#This Row],[Unidades pedidas]]*Tbl_RentabilidadesAjustadas[[#This Row],[Beneficio unitario (€)]]</f>
        <v>6277.6</v>
      </c>
      <c r="J191" s="131">
        <f>Tbl_RentabilidadesAjustadas[[#This Row],[Beneficio unitario (€)]]*Tbl_RentabilidadesAjustadas[[#This Row],[Unidades a exportar]]</f>
        <v>6277.6</v>
      </c>
      <c r="K191" s="1"/>
      <c r="L191" s="1"/>
      <c r="M191" s="1"/>
      <c r="N191" s="91" t="s">
        <v>23</v>
      </c>
      <c r="O191" s="95">
        <f>SUMIF(Tbl_RentabilidadesAjustadas[Producto], N191, Tbl_RentabilidadesAjustadas[Unidades a exportar])</f>
        <v>415</v>
      </c>
      <c r="P191" s="92">
        <f>SUMIF(Tbl_RentabilidadesAjustadas[Producto], N191, Tbl_RentabilidadesAjustadas[Cantidad máxima])</f>
        <v>505</v>
      </c>
      <c r="Q191" s="126">
        <f t="shared" si="6"/>
        <v>0.82178217821782173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</row>
    <row r="192" spans="1:131" ht="17" x14ac:dyDescent="0.25">
      <c r="A192" s="86" t="s">
        <v>12</v>
      </c>
      <c r="B192" s="86" t="s">
        <v>21</v>
      </c>
      <c r="C192" s="135">
        <v>223.69</v>
      </c>
      <c r="D192" s="135">
        <v>145.4</v>
      </c>
      <c r="E192" s="137">
        <v>110</v>
      </c>
      <c r="F192" s="136">
        <v>170</v>
      </c>
      <c r="G192" s="111">
        <f>Tbl_RentabilidadesAjustadas[[#This Row],[Precio unitario (€)]]-Tbl_RentabilidadesAjustadas[[#This Row],[Coste unitario (€)]]</f>
        <v>78.289999999999992</v>
      </c>
      <c r="H192" s="130">
        <v>110</v>
      </c>
      <c r="I192" s="88">
        <f>Tbl_RentabilidadesAjustadas[[#This Row],[Unidades pedidas]]*Tbl_RentabilidadesAjustadas[[#This Row],[Beneficio unitario (€)]]</f>
        <v>8611.9</v>
      </c>
      <c r="J192" s="131">
        <f>Tbl_RentabilidadesAjustadas[[#This Row],[Beneficio unitario (€)]]*Tbl_RentabilidadesAjustadas[[#This Row],[Unidades a exportar]]</f>
        <v>8611.9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</row>
    <row r="193" spans="1:131" ht="17" x14ac:dyDescent="0.25">
      <c r="A193" s="8" t="s">
        <v>12</v>
      </c>
      <c r="B193" s="8" t="s">
        <v>11</v>
      </c>
      <c r="C193" s="135">
        <v>122.9</v>
      </c>
      <c r="D193" s="135">
        <v>79.89</v>
      </c>
      <c r="E193" s="137">
        <v>189</v>
      </c>
      <c r="F193" s="136">
        <v>198</v>
      </c>
      <c r="G193" s="88">
        <f>Tbl_RentabilidadesAjustadas[[#This Row],[Precio unitario (€)]]-Tbl_RentabilidadesAjustadas[[#This Row],[Coste unitario (€)]]</f>
        <v>43.010000000000005</v>
      </c>
      <c r="H193" s="130">
        <v>189</v>
      </c>
      <c r="I193" s="88">
        <f>Tbl_RentabilidadesAjustadas[[#This Row],[Unidades pedidas]]*Tbl_RentabilidadesAjustadas[[#This Row],[Beneficio unitario (€)]]</f>
        <v>8128.8900000000012</v>
      </c>
      <c r="J193" s="131">
        <f>Tbl_RentabilidadesAjustadas[[#This Row],[Beneficio unitario (€)]]*Tbl_RentabilidadesAjustadas[[#This Row],[Unidades a exportar]]</f>
        <v>8128.8900000000012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</row>
    <row r="194" spans="1:131" ht="17" x14ac:dyDescent="0.25">
      <c r="A194" s="86" t="s">
        <v>7</v>
      </c>
      <c r="B194" s="86" t="s">
        <v>10</v>
      </c>
      <c r="C194" s="135">
        <v>160.6</v>
      </c>
      <c r="D194" s="135">
        <v>104.39</v>
      </c>
      <c r="E194" s="137">
        <v>145</v>
      </c>
      <c r="F194" s="136">
        <v>165</v>
      </c>
      <c r="G194" s="111">
        <f>Tbl_RentabilidadesAjustadas[[#This Row],[Precio unitario (€)]]-Tbl_RentabilidadesAjustadas[[#This Row],[Coste unitario (€)]]</f>
        <v>56.209999999999994</v>
      </c>
      <c r="H194" s="130">
        <v>145</v>
      </c>
      <c r="I194" s="88">
        <f>Tbl_RentabilidadesAjustadas[[#This Row],[Unidades pedidas]]*Tbl_RentabilidadesAjustadas[[#This Row],[Beneficio unitario (€)]]</f>
        <v>8150.4499999999989</v>
      </c>
      <c r="J194" s="131">
        <f>Tbl_RentabilidadesAjustadas[[#This Row],[Beneficio unitario (€)]]*Tbl_RentabilidadesAjustadas[[#This Row],[Unidades a exportar]]</f>
        <v>8150.4499999999989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</row>
    <row r="195" spans="1:131" ht="17" x14ac:dyDescent="0.25">
      <c r="A195" s="8" t="s">
        <v>7</v>
      </c>
      <c r="B195" s="8" t="s">
        <v>18</v>
      </c>
      <c r="C195" s="135">
        <v>186.95</v>
      </c>
      <c r="D195" s="135">
        <v>121.52</v>
      </c>
      <c r="E195" s="137">
        <v>0</v>
      </c>
      <c r="F195" s="136">
        <v>228</v>
      </c>
      <c r="G195" s="88">
        <f>Tbl_RentabilidadesAjustadas[[#This Row],[Precio unitario (€)]]-Tbl_RentabilidadesAjustadas[[#This Row],[Coste unitario (€)]]</f>
        <v>65.429999999999993</v>
      </c>
      <c r="H195" s="130">
        <v>0</v>
      </c>
      <c r="I195" s="88">
        <f>Tbl_RentabilidadesAjustadas[[#This Row],[Unidades pedidas]]*Tbl_RentabilidadesAjustadas[[#This Row],[Beneficio unitario (€)]]</f>
        <v>0</v>
      </c>
      <c r="J195" s="131">
        <f>Tbl_RentabilidadesAjustadas[[#This Row],[Beneficio unitario (€)]]*Tbl_RentabilidadesAjustadas[[#This Row],[Unidades a exportar]]</f>
        <v>0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</row>
    <row r="196" spans="1:131" ht="17" x14ac:dyDescent="0.25">
      <c r="A196" s="86" t="s">
        <v>7</v>
      </c>
      <c r="B196" s="86" t="s">
        <v>20</v>
      </c>
      <c r="C196" s="135">
        <v>73.77</v>
      </c>
      <c r="D196" s="135">
        <v>47.95</v>
      </c>
      <c r="E196" s="137">
        <v>0</v>
      </c>
      <c r="F196" s="136">
        <v>190</v>
      </c>
      <c r="G196" s="111">
        <f>Tbl_RentabilidadesAjustadas[[#This Row],[Precio unitario (€)]]-Tbl_RentabilidadesAjustadas[[#This Row],[Coste unitario (€)]]</f>
        <v>25.819999999999993</v>
      </c>
      <c r="H196" s="130">
        <v>0</v>
      </c>
      <c r="I196" s="88">
        <f>Tbl_RentabilidadesAjustadas[[#This Row],[Unidades pedidas]]*Tbl_RentabilidadesAjustadas[[#This Row],[Beneficio unitario (€)]]</f>
        <v>0</v>
      </c>
      <c r="J196" s="131">
        <f>Tbl_RentabilidadesAjustadas[[#This Row],[Beneficio unitario (€)]]*Tbl_RentabilidadesAjustadas[[#This Row],[Unidades a exportar]]</f>
        <v>0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</row>
    <row r="197" spans="1:131" ht="17" x14ac:dyDescent="0.25">
      <c r="A197" s="8" t="s">
        <v>7</v>
      </c>
      <c r="B197" s="8" t="s">
        <v>13</v>
      </c>
      <c r="C197" s="135">
        <v>162.53</v>
      </c>
      <c r="D197" s="135">
        <v>105.64</v>
      </c>
      <c r="E197" s="137">
        <v>180</v>
      </c>
      <c r="F197" s="136">
        <v>190</v>
      </c>
      <c r="G197" s="88">
        <f>Tbl_RentabilidadesAjustadas[[#This Row],[Precio unitario (€)]]-Tbl_RentabilidadesAjustadas[[#This Row],[Coste unitario (€)]]</f>
        <v>56.89</v>
      </c>
      <c r="H197" s="130">
        <v>180</v>
      </c>
      <c r="I197" s="88">
        <f>Tbl_RentabilidadesAjustadas[[#This Row],[Unidades pedidas]]*Tbl_RentabilidadesAjustadas[[#This Row],[Beneficio unitario (€)]]</f>
        <v>10240.200000000001</v>
      </c>
      <c r="J197" s="131">
        <f>Tbl_RentabilidadesAjustadas[[#This Row],[Beneficio unitario (€)]]*Tbl_RentabilidadesAjustadas[[#This Row],[Unidades a exportar]]</f>
        <v>10240.200000000001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</row>
    <row r="198" spans="1:131" ht="17" x14ac:dyDescent="0.25">
      <c r="A198" s="86" t="s">
        <v>7</v>
      </c>
      <c r="B198" s="86" t="s">
        <v>16</v>
      </c>
      <c r="C198" s="135">
        <v>106.71</v>
      </c>
      <c r="D198" s="135">
        <v>69.36</v>
      </c>
      <c r="E198" s="137">
        <v>195</v>
      </c>
      <c r="F198" s="136">
        <v>200</v>
      </c>
      <c r="G198" s="111">
        <f>Tbl_RentabilidadesAjustadas[[#This Row],[Precio unitario (€)]]-Tbl_RentabilidadesAjustadas[[#This Row],[Coste unitario (€)]]</f>
        <v>37.349999999999994</v>
      </c>
      <c r="H198" s="130">
        <v>195</v>
      </c>
      <c r="I198" s="88">
        <f>Tbl_RentabilidadesAjustadas[[#This Row],[Unidades pedidas]]*Tbl_RentabilidadesAjustadas[[#This Row],[Beneficio unitario (€)]]</f>
        <v>7283.2499999999991</v>
      </c>
      <c r="J198" s="131">
        <f>Tbl_RentabilidadesAjustadas[[#This Row],[Beneficio unitario (€)]]*Tbl_RentabilidadesAjustadas[[#This Row],[Unidades a exportar]]</f>
        <v>7283.2499999999991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</row>
    <row r="199" spans="1:131" ht="17" x14ac:dyDescent="0.25">
      <c r="A199" s="8" t="s">
        <v>7</v>
      </c>
      <c r="B199" s="8" t="s">
        <v>8</v>
      </c>
      <c r="C199" s="135">
        <v>243.27</v>
      </c>
      <c r="D199" s="135">
        <v>158.13</v>
      </c>
      <c r="E199" s="137">
        <v>205</v>
      </c>
      <c r="F199" s="136">
        <v>200</v>
      </c>
      <c r="G199" s="88">
        <f>Tbl_RentabilidadesAjustadas[[#This Row],[Precio unitario (€)]]-Tbl_RentabilidadesAjustadas[[#This Row],[Coste unitario (€)]]</f>
        <v>85.140000000000015</v>
      </c>
      <c r="H199" s="130">
        <v>205</v>
      </c>
      <c r="I199" s="88">
        <f>Tbl_RentabilidadesAjustadas[[#This Row],[Unidades pedidas]]*Tbl_RentabilidadesAjustadas[[#This Row],[Beneficio unitario (€)]]</f>
        <v>17453.700000000004</v>
      </c>
      <c r="J199" s="131">
        <f>Tbl_RentabilidadesAjustadas[[#This Row],[Beneficio unitario (€)]]*Tbl_RentabilidadesAjustadas[[#This Row],[Unidades a exportar]]</f>
        <v>17453.700000000004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</row>
    <row r="200" spans="1:131" ht="17" x14ac:dyDescent="0.25">
      <c r="A200" s="86" t="s">
        <v>7</v>
      </c>
      <c r="B200" s="86" t="s">
        <v>14</v>
      </c>
      <c r="C200" s="135">
        <v>146.47</v>
      </c>
      <c r="D200" s="135">
        <v>95.21</v>
      </c>
      <c r="E200" s="137">
        <v>170</v>
      </c>
      <c r="F200" s="136">
        <v>200</v>
      </c>
      <c r="G200" s="111">
        <f>Tbl_RentabilidadesAjustadas[[#This Row],[Precio unitario (€)]]-Tbl_RentabilidadesAjustadas[[#This Row],[Coste unitario (€)]]</f>
        <v>51.260000000000005</v>
      </c>
      <c r="H200" s="130">
        <v>170</v>
      </c>
      <c r="I200" s="88">
        <f>Tbl_RentabilidadesAjustadas[[#This Row],[Unidades pedidas]]*Tbl_RentabilidadesAjustadas[[#This Row],[Beneficio unitario (€)]]</f>
        <v>8714.2000000000007</v>
      </c>
      <c r="J200" s="131">
        <f>Tbl_RentabilidadesAjustadas[[#This Row],[Beneficio unitario (€)]]*Tbl_RentabilidadesAjustadas[[#This Row],[Unidades a exportar]]</f>
        <v>8714.2000000000007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</row>
    <row r="201" spans="1:131" ht="17" x14ac:dyDescent="0.25">
      <c r="A201" s="8" t="s">
        <v>7</v>
      </c>
      <c r="B201" s="8" t="s">
        <v>19</v>
      </c>
      <c r="C201" s="135">
        <v>155.09</v>
      </c>
      <c r="D201" s="135">
        <v>100.81</v>
      </c>
      <c r="E201" s="137">
        <v>185</v>
      </c>
      <c r="F201" s="136">
        <v>200</v>
      </c>
      <c r="G201" s="88">
        <f>Tbl_RentabilidadesAjustadas[[#This Row],[Precio unitario (€)]]-Tbl_RentabilidadesAjustadas[[#This Row],[Coste unitario (€)]]</f>
        <v>54.28</v>
      </c>
      <c r="H201" s="130">
        <v>185</v>
      </c>
      <c r="I201" s="88">
        <f>Tbl_RentabilidadesAjustadas[[#This Row],[Unidades pedidas]]*Tbl_RentabilidadesAjustadas[[#This Row],[Beneficio unitario (€)]]</f>
        <v>10041.800000000001</v>
      </c>
      <c r="J201" s="131">
        <f>Tbl_RentabilidadesAjustadas[[#This Row],[Beneficio unitario (€)]]*Tbl_RentabilidadesAjustadas[[#This Row],[Unidades a exportar]]</f>
        <v>10041.800000000001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</row>
    <row r="202" spans="1:131" ht="17" x14ac:dyDescent="0.25">
      <c r="A202" s="86" t="s">
        <v>7</v>
      </c>
      <c r="B202" s="86" t="s">
        <v>21</v>
      </c>
      <c r="C202" s="135">
        <v>211.28</v>
      </c>
      <c r="D202" s="135">
        <v>137.33000000000001</v>
      </c>
      <c r="E202" s="137">
        <v>175</v>
      </c>
      <c r="F202" s="136">
        <v>185</v>
      </c>
      <c r="G202" s="111">
        <f>Tbl_RentabilidadesAjustadas[[#This Row],[Precio unitario (€)]]-Tbl_RentabilidadesAjustadas[[#This Row],[Coste unitario (€)]]</f>
        <v>73.949999999999989</v>
      </c>
      <c r="H202" s="130">
        <v>175</v>
      </c>
      <c r="I202" s="88">
        <f>Tbl_RentabilidadesAjustadas[[#This Row],[Unidades pedidas]]*Tbl_RentabilidadesAjustadas[[#This Row],[Beneficio unitario (€)]]</f>
        <v>12941.249999999998</v>
      </c>
      <c r="J202" s="131">
        <f>Tbl_RentabilidadesAjustadas[[#This Row],[Beneficio unitario (€)]]*Tbl_RentabilidadesAjustadas[[#This Row],[Unidades a exportar]]</f>
        <v>12941.249999999998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</row>
    <row r="203" spans="1:131" ht="17" x14ac:dyDescent="0.25">
      <c r="A203" s="8" t="s">
        <v>7</v>
      </c>
      <c r="B203" s="8" t="s">
        <v>11</v>
      </c>
      <c r="C203" s="135">
        <v>194.2</v>
      </c>
      <c r="D203" s="135">
        <v>126.23</v>
      </c>
      <c r="E203" s="137">
        <v>215</v>
      </c>
      <c r="F203" s="136">
        <v>225</v>
      </c>
      <c r="G203" s="88">
        <f>Tbl_RentabilidadesAjustadas[[#This Row],[Precio unitario (€)]]-Tbl_RentabilidadesAjustadas[[#This Row],[Coste unitario (€)]]</f>
        <v>67.969999999999985</v>
      </c>
      <c r="H203" s="130">
        <v>215</v>
      </c>
      <c r="I203" s="88">
        <f>Tbl_RentabilidadesAjustadas[[#This Row],[Unidades pedidas]]*Tbl_RentabilidadesAjustadas[[#This Row],[Beneficio unitario (€)]]</f>
        <v>14613.549999999997</v>
      </c>
      <c r="J203" s="131">
        <f>Tbl_RentabilidadesAjustadas[[#This Row],[Beneficio unitario (€)]]*Tbl_RentabilidadesAjustadas[[#This Row],[Unidades a exportar]]</f>
        <v>14613.549999999997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</row>
    <row r="204" spans="1:131" ht="17" x14ac:dyDescent="0.25">
      <c r="A204" s="86" t="s">
        <v>17</v>
      </c>
      <c r="B204" s="86" t="s">
        <v>10</v>
      </c>
      <c r="C204" s="135">
        <v>160.34</v>
      </c>
      <c r="D204" s="135">
        <v>104.22</v>
      </c>
      <c r="E204" s="137">
        <v>130</v>
      </c>
      <c r="F204" s="136">
        <v>175</v>
      </c>
      <c r="G204" s="111">
        <f>Tbl_RentabilidadesAjustadas[[#This Row],[Precio unitario (€)]]-Tbl_RentabilidadesAjustadas[[#This Row],[Coste unitario (€)]]</f>
        <v>56.120000000000005</v>
      </c>
      <c r="H204" s="130">
        <v>130</v>
      </c>
      <c r="I204" s="88">
        <f>Tbl_RentabilidadesAjustadas[[#This Row],[Unidades pedidas]]*Tbl_RentabilidadesAjustadas[[#This Row],[Beneficio unitario (€)]]</f>
        <v>7295.6</v>
      </c>
      <c r="J204" s="131">
        <f>Tbl_RentabilidadesAjustadas[[#This Row],[Beneficio unitario (€)]]*Tbl_RentabilidadesAjustadas[[#This Row],[Unidades a exportar]]</f>
        <v>7295.6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</row>
    <row r="205" spans="1:131" ht="17" x14ac:dyDescent="0.25">
      <c r="A205" s="8" t="s">
        <v>17</v>
      </c>
      <c r="B205" s="8" t="s">
        <v>18</v>
      </c>
      <c r="C205" s="135">
        <v>150.47</v>
      </c>
      <c r="D205" s="135">
        <v>97.81</v>
      </c>
      <c r="E205" s="137">
        <v>100</v>
      </c>
      <c r="F205" s="136">
        <v>195</v>
      </c>
      <c r="G205" s="88">
        <f>Tbl_RentabilidadesAjustadas[[#This Row],[Precio unitario (€)]]-Tbl_RentabilidadesAjustadas[[#This Row],[Coste unitario (€)]]</f>
        <v>52.66</v>
      </c>
      <c r="H205" s="130">
        <v>100</v>
      </c>
      <c r="I205" s="88">
        <f>Tbl_RentabilidadesAjustadas[[#This Row],[Unidades pedidas]]*Tbl_RentabilidadesAjustadas[[#This Row],[Beneficio unitario (€)]]</f>
        <v>5266</v>
      </c>
      <c r="J205" s="131">
        <f>Tbl_RentabilidadesAjustadas[[#This Row],[Beneficio unitario (€)]]*Tbl_RentabilidadesAjustadas[[#This Row],[Unidades a exportar]]</f>
        <v>5266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</row>
    <row r="206" spans="1:131" ht="17" x14ac:dyDescent="0.25">
      <c r="A206" s="86" t="s">
        <v>17</v>
      </c>
      <c r="B206" s="86" t="s">
        <v>20</v>
      </c>
      <c r="C206" s="135">
        <v>221.56</v>
      </c>
      <c r="D206" s="135">
        <v>144.01</v>
      </c>
      <c r="E206" s="137">
        <v>180</v>
      </c>
      <c r="F206" s="136">
        <v>180</v>
      </c>
      <c r="G206" s="111">
        <f>Tbl_RentabilidadesAjustadas[[#This Row],[Precio unitario (€)]]-Tbl_RentabilidadesAjustadas[[#This Row],[Coste unitario (€)]]</f>
        <v>77.550000000000011</v>
      </c>
      <c r="H206" s="130">
        <v>180</v>
      </c>
      <c r="I206" s="88">
        <f>Tbl_RentabilidadesAjustadas[[#This Row],[Unidades pedidas]]*Tbl_RentabilidadesAjustadas[[#This Row],[Beneficio unitario (€)]]</f>
        <v>13959.000000000002</v>
      </c>
      <c r="J206" s="131">
        <f>Tbl_RentabilidadesAjustadas[[#This Row],[Beneficio unitario (€)]]*Tbl_RentabilidadesAjustadas[[#This Row],[Unidades a exportar]]</f>
        <v>13959.000000000002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</row>
    <row r="207" spans="1:131" ht="17" x14ac:dyDescent="0.25">
      <c r="A207" s="8" t="s">
        <v>17</v>
      </c>
      <c r="B207" s="8" t="s">
        <v>13</v>
      </c>
      <c r="C207" s="135">
        <v>90.79</v>
      </c>
      <c r="D207" s="135">
        <v>59.01</v>
      </c>
      <c r="E207" s="137">
        <v>140</v>
      </c>
      <c r="F207" s="136">
        <v>140</v>
      </c>
      <c r="G207" s="88">
        <f>Tbl_RentabilidadesAjustadas[[#This Row],[Precio unitario (€)]]-Tbl_RentabilidadesAjustadas[[#This Row],[Coste unitario (€)]]</f>
        <v>31.780000000000008</v>
      </c>
      <c r="H207" s="130">
        <v>140</v>
      </c>
      <c r="I207" s="88">
        <f>Tbl_RentabilidadesAjustadas[[#This Row],[Unidades pedidas]]*Tbl_RentabilidadesAjustadas[[#This Row],[Beneficio unitario (€)]]</f>
        <v>4449.2000000000007</v>
      </c>
      <c r="J207" s="131">
        <f>Tbl_RentabilidadesAjustadas[[#This Row],[Beneficio unitario (€)]]*Tbl_RentabilidadesAjustadas[[#This Row],[Unidades a exportar]]</f>
        <v>4449.2000000000007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</row>
    <row r="208" spans="1:131" ht="17" x14ac:dyDescent="0.25">
      <c r="A208" s="86" t="s">
        <v>17</v>
      </c>
      <c r="B208" s="86" t="s">
        <v>16</v>
      </c>
      <c r="C208" s="135">
        <v>70.180000000000007</v>
      </c>
      <c r="D208" s="135">
        <v>45.61</v>
      </c>
      <c r="E208" s="137">
        <v>0</v>
      </c>
      <c r="F208" s="136">
        <v>220</v>
      </c>
      <c r="G208" s="111">
        <f>Tbl_RentabilidadesAjustadas[[#This Row],[Precio unitario (€)]]-Tbl_RentabilidadesAjustadas[[#This Row],[Coste unitario (€)]]</f>
        <v>24.570000000000007</v>
      </c>
      <c r="H208" s="130">
        <v>0</v>
      </c>
      <c r="I208" s="88">
        <f>Tbl_RentabilidadesAjustadas[[#This Row],[Unidades pedidas]]*Tbl_RentabilidadesAjustadas[[#This Row],[Beneficio unitario (€)]]</f>
        <v>0</v>
      </c>
      <c r="J208" s="131">
        <f>Tbl_RentabilidadesAjustadas[[#This Row],[Beneficio unitario (€)]]*Tbl_RentabilidadesAjustadas[[#This Row],[Unidades a exportar]]</f>
        <v>0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</row>
    <row r="209" spans="1:131" ht="17" x14ac:dyDescent="0.25">
      <c r="A209" s="8" t="s">
        <v>17</v>
      </c>
      <c r="B209" s="8" t="s">
        <v>8</v>
      </c>
      <c r="C209" s="135">
        <v>134.22999999999999</v>
      </c>
      <c r="D209" s="135">
        <v>87.25</v>
      </c>
      <c r="E209" s="137">
        <v>0</v>
      </c>
      <c r="F209" s="136">
        <v>190</v>
      </c>
      <c r="G209" s="88">
        <f>Tbl_RentabilidadesAjustadas[[#This Row],[Precio unitario (€)]]-Tbl_RentabilidadesAjustadas[[#This Row],[Coste unitario (€)]]</f>
        <v>46.97999999999999</v>
      </c>
      <c r="H209" s="130">
        <v>0</v>
      </c>
      <c r="I209" s="88">
        <f>Tbl_RentabilidadesAjustadas[[#This Row],[Unidades pedidas]]*Tbl_RentabilidadesAjustadas[[#This Row],[Beneficio unitario (€)]]</f>
        <v>0</v>
      </c>
      <c r="J209" s="131">
        <f>Tbl_RentabilidadesAjustadas[[#This Row],[Beneficio unitario (€)]]*Tbl_RentabilidadesAjustadas[[#This Row],[Unidades a exportar]]</f>
        <v>0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</row>
    <row r="210" spans="1:131" ht="17" x14ac:dyDescent="0.25">
      <c r="A210" s="86" t="s">
        <v>17</v>
      </c>
      <c r="B210" s="86" t="s">
        <v>14</v>
      </c>
      <c r="C210" s="135">
        <v>78.42</v>
      </c>
      <c r="D210" s="135">
        <v>50.97</v>
      </c>
      <c r="E210" s="137">
        <v>0</v>
      </c>
      <c r="F210" s="136">
        <v>180</v>
      </c>
      <c r="G210" s="111">
        <f>Tbl_RentabilidadesAjustadas[[#This Row],[Precio unitario (€)]]-Tbl_RentabilidadesAjustadas[[#This Row],[Coste unitario (€)]]</f>
        <v>27.450000000000003</v>
      </c>
      <c r="H210" s="130">
        <v>0</v>
      </c>
      <c r="I210" s="88">
        <f>Tbl_RentabilidadesAjustadas[[#This Row],[Unidades pedidas]]*Tbl_RentabilidadesAjustadas[[#This Row],[Beneficio unitario (€)]]</f>
        <v>0</v>
      </c>
      <c r="J210" s="131">
        <f>Tbl_RentabilidadesAjustadas[[#This Row],[Beneficio unitario (€)]]*Tbl_RentabilidadesAjustadas[[#This Row],[Unidades a exportar]]</f>
        <v>0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</row>
    <row r="211" spans="1:131" ht="17" x14ac:dyDescent="0.25">
      <c r="A211" s="8" t="s">
        <v>17</v>
      </c>
      <c r="B211" s="8" t="s">
        <v>19</v>
      </c>
      <c r="C211" s="135">
        <v>225.84</v>
      </c>
      <c r="D211" s="135">
        <v>146.80000000000001</v>
      </c>
      <c r="E211" s="137">
        <v>195</v>
      </c>
      <c r="F211" s="136">
        <v>200</v>
      </c>
      <c r="G211" s="88">
        <f>Tbl_RentabilidadesAjustadas[[#This Row],[Precio unitario (€)]]-Tbl_RentabilidadesAjustadas[[#This Row],[Coste unitario (€)]]</f>
        <v>79.039999999999992</v>
      </c>
      <c r="H211" s="130">
        <v>195</v>
      </c>
      <c r="I211" s="88">
        <f>Tbl_RentabilidadesAjustadas[[#This Row],[Unidades pedidas]]*Tbl_RentabilidadesAjustadas[[#This Row],[Beneficio unitario (€)]]</f>
        <v>15412.8</v>
      </c>
      <c r="J211" s="131">
        <f>Tbl_RentabilidadesAjustadas[[#This Row],[Beneficio unitario (€)]]*Tbl_RentabilidadesAjustadas[[#This Row],[Unidades a exportar]]</f>
        <v>15412.8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</row>
    <row r="212" spans="1:131" ht="17" x14ac:dyDescent="0.25">
      <c r="A212" s="86" t="s">
        <v>17</v>
      </c>
      <c r="B212" s="86" t="s">
        <v>21</v>
      </c>
      <c r="C212" s="135">
        <v>118.9</v>
      </c>
      <c r="D212" s="135">
        <v>77.290000000000006</v>
      </c>
      <c r="E212" s="137">
        <v>205</v>
      </c>
      <c r="F212" s="136">
        <v>210</v>
      </c>
      <c r="G212" s="111">
        <f>Tbl_RentabilidadesAjustadas[[#This Row],[Precio unitario (€)]]-Tbl_RentabilidadesAjustadas[[#This Row],[Coste unitario (€)]]</f>
        <v>41.61</v>
      </c>
      <c r="H212" s="130">
        <v>205</v>
      </c>
      <c r="I212" s="88">
        <f>Tbl_RentabilidadesAjustadas[[#This Row],[Unidades pedidas]]*Tbl_RentabilidadesAjustadas[[#This Row],[Beneficio unitario (€)]]</f>
        <v>8530.0499999999993</v>
      </c>
      <c r="J212" s="131">
        <f>Tbl_RentabilidadesAjustadas[[#This Row],[Beneficio unitario (€)]]*Tbl_RentabilidadesAjustadas[[#This Row],[Unidades a exportar]]</f>
        <v>8530.0499999999993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</row>
    <row r="213" spans="1:131" ht="17" x14ac:dyDescent="0.25">
      <c r="A213" s="8" t="s">
        <v>24</v>
      </c>
      <c r="B213" s="8" t="s">
        <v>10</v>
      </c>
      <c r="C213" s="135">
        <v>125.08</v>
      </c>
      <c r="D213" s="135">
        <v>130.1</v>
      </c>
      <c r="E213" s="137">
        <v>180</v>
      </c>
      <c r="F213" s="136">
        <v>205</v>
      </c>
      <c r="G213" s="88">
        <f>Tbl_RentabilidadesAjustadas[[#This Row],[Precio unitario (€)]]-Tbl_RentabilidadesAjustadas[[#This Row],[Coste unitario (€)]]</f>
        <v>-5.019999999999996</v>
      </c>
      <c r="H213" s="130">
        <v>0</v>
      </c>
      <c r="I213" s="88">
        <f>Tbl_RentabilidadesAjustadas[[#This Row],[Unidades pedidas]]*Tbl_RentabilidadesAjustadas[[#This Row],[Beneficio unitario (€)]]</f>
        <v>-903.59999999999923</v>
      </c>
      <c r="J213" s="131">
        <f>Tbl_RentabilidadesAjustadas[[#This Row],[Beneficio unitario (€)]]*Tbl_RentabilidadesAjustadas[[#This Row],[Unidades a exportar]]</f>
        <v>0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</row>
    <row r="214" spans="1:131" ht="17" x14ac:dyDescent="0.25">
      <c r="A214" s="86" t="s">
        <v>24</v>
      </c>
      <c r="B214" s="86" t="s">
        <v>18</v>
      </c>
      <c r="C214" s="135">
        <v>130.29</v>
      </c>
      <c r="D214" s="135">
        <v>132</v>
      </c>
      <c r="E214" s="137">
        <v>150</v>
      </c>
      <c r="F214" s="136">
        <v>150</v>
      </c>
      <c r="G214" s="111">
        <f>Tbl_RentabilidadesAjustadas[[#This Row],[Precio unitario (€)]]-Tbl_RentabilidadesAjustadas[[#This Row],[Coste unitario (€)]]</f>
        <v>-1.710000000000008</v>
      </c>
      <c r="H214" s="130">
        <v>0</v>
      </c>
      <c r="I214" s="88">
        <f>Tbl_RentabilidadesAjustadas[[#This Row],[Unidades pedidas]]*Tbl_RentabilidadesAjustadas[[#This Row],[Beneficio unitario (€)]]</f>
        <v>-256.50000000000119</v>
      </c>
      <c r="J214" s="131">
        <f>Tbl_RentabilidadesAjustadas[[#This Row],[Beneficio unitario (€)]]*Tbl_RentabilidadesAjustadas[[#This Row],[Unidades a exportar]]</f>
        <v>0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</row>
    <row r="215" spans="1:131" ht="17" x14ac:dyDescent="0.25">
      <c r="A215" s="8" t="s">
        <v>24</v>
      </c>
      <c r="B215" s="8" t="s">
        <v>20</v>
      </c>
      <c r="C215" s="135">
        <v>213.27</v>
      </c>
      <c r="D215" s="135">
        <v>225</v>
      </c>
      <c r="E215" s="137">
        <v>145</v>
      </c>
      <c r="F215" s="136">
        <v>150</v>
      </c>
      <c r="G215" s="88">
        <f>Tbl_RentabilidadesAjustadas[[#This Row],[Precio unitario (€)]]-Tbl_RentabilidadesAjustadas[[#This Row],[Coste unitario (€)]]</f>
        <v>-11.72999999999999</v>
      </c>
      <c r="H215" s="130">
        <v>0</v>
      </c>
      <c r="I215" s="88">
        <f>Tbl_RentabilidadesAjustadas[[#This Row],[Unidades pedidas]]*Tbl_RentabilidadesAjustadas[[#This Row],[Beneficio unitario (€)]]</f>
        <v>-1700.8499999999985</v>
      </c>
      <c r="J215" s="131">
        <f>Tbl_RentabilidadesAjustadas[[#This Row],[Beneficio unitario (€)]]*Tbl_RentabilidadesAjustadas[[#This Row],[Unidades a exportar]]</f>
        <v>0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</row>
    <row r="216" spans="1:131" ht="17" x14ac:dyDescent="0.25">
      <c r="A216" s="86" t="s">
        <v>24</v>
      </c>
      <c r="B216" s="86" t="s">
        <v>16</v>
      </c>
      <c r="C216" s="135">
        <v>110.88</v>
      </c>
      <c r="D216" s="135">
        <v>137.5</v>
      </c>
      <c r="E216" s="137">
        <v>0</v>
      </c>
      <c r="F216" s="136">
        <v>150</v>
      </c>
      <c r="G216" s="111">
        <f>Tbl_RentabilidadesAjustadas[[#This Row],[Precio unitario (€)]]-Tbl_RentabilidadesAjustadas[[#This Row],[Coste unitario (€)]]</f>
        <v>-26.620000000000005</v>
      </c>
      <c r="H216" s="130">
        <v>0</v>
      </c>
      <c r="I216" s="88">
        <f>Tbl_RentabilidadesAjustadas[[#This Row],[Unidades pedidas]]*Tbl_RentabilidadesAjustadas[[#This Row],[Beneficio unitario (€)]]</f>
        <v>0</v>
      </c>
      <c r="J216" s="131">
        <f>Tbl_RentabilidadesAjustadas[[#This Row],[Beneficio unitario (€)]]*Tbl_RentabilidadesAjustadas[[#This Row],[Unidades a exportar]]</f>
        <v>0</v>
      </c>
      <c r="K216" s="1"/>
      <c r="L216" s="1"/>
      <c r="M216" s="106" t="s">
        <v>223</v>
      </c>
      <c r="N216" s="79"/>
      <c r="O216" s="79"/>
      <c r="P216" s="79"/>
      <c r="Q216" s="79"/>
      <c r="R216" s="107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</row>
    <row r="217" spans="1:131" ht="17" x14ac:dyDescent="0.25">
      <c r="A217" s="8" t="s">
        <v>24</v>
      </c>
      <c r="B217" s="8" t="s">
        <v>8</v>
      </c>
      <c r="C217" s="135">
        <v>108.07</v>
      </c>
      <c r="D217" s="135">
        <v>155.9</v>
      </c>
      <c r="E217" s="137">
        <v>140</v>
      </c>
      <c r="F217" s="136">
        <v>215</v>
      </c>
      <c r="G217" s="88">
        <f>Tbl_RentabilidadesAjustadas[[#This Row],[Precio unitario (€)]]-Tbl_RentabilidadesAjustadas[[#This Row],[Coste unitario (€)]]</f>
        <v>-47.830000000000013</v>
      </c>
      <c r="H217" s="130">
        <v>0</v>
      </c>
      <c r="I217" s="88">
        <f>Tbl_RentabilidadesAjustadas[[#This Row],[Unidades pedidas]]*Tbl_RentabilidadesAjustadas[[#This Row],[Beneficio unitario (€)]]</f>
        <v>-6696.2000000000016</v>
      </c>
      <c r="J217" s="131">
        <f>Tbl_RentabilidadesAjustadas[[#This Row],[Beneficio unitario (€)]]*Tbl_RentabilidadesAjustadas[[#This Row],[Unidades a exportar]]</f>
        <v>0</v>
      </c>
      <c r="K217" s="1"/>
      <c r="L217" s="1"/>
      <c r="M217" s="80"/>
      <c r="N217" s="103"/>
      <c r="O217" s="103"/>
      <c r="P217" s="103"/>
      <c r="Q217" s="103"/>
      <c r="R217" s="8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</row>
    <row r="218" spans="1:131" ht="17" x14ac:dyDescent="0.25">
      <c r="A218" s="86" t="s">
        <v>24</v>
      </c>
      <c r="B218" s="86" t="s">
        <v>19</v>
      </c>
      <c r="C218" s="135">
        <v>116.01</v>
      </c>
      <c r="D218" s="135">
        <v>120.2</v>
      </c>
      <c r="E218" s="137">
        <v>130</v>
      </c>
      <c r="F218" s="136">
        <v>140</v>
      </c>
      <c r="G218" s="111">
        <f>Tbl_RentabilidadesAjustadas[[#This Row],[Precio unitario (€)]]-Tbl_RentabilidadesAjustadas[[#This Row],[Coste unitario (€)]]</f>
        <v>-4.1899999999999977</v>
      </c>
      <c r="H218" s="130">
        <v>0</v>
      </c>
      <c r="I218" s="88">
        <f>Tbl_RentabilidadesAjustadas[[#This Row],[Unidades pedidas]]*Tbl_RentabilidadesAjustadas[[#This Row],[Beneficio unitario (€)]]</f>
        <v>-544.6999999999997</v>
      </c>
      <c r="J218" s="131">
        <f>Tbl_RentabilidadesAjustadas[[#This Row],[Beneficio unitario (€)]]*Tbl_RentabilidadesAjustadas[[#This Row],[Unidades a exportar]]</f>
        <v>0</v>
      </c>
      <c r="K218" s="1"/>
      <c r="L218" s="1"/>
      <c r="M218" s="80" t="s">
        <v>224</v>
      </c>
      <c r="N218" s="103"/>
      <c r="O218" s="103"/>
      <c r="P218" s="103"/>
      <c r="Q218" s="103"/>
      <c r="R218" s="8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</row>
    <row r="219" spans="1:131" ht="17" x14ac:dyDescent="0.25">
      <c r="A219" s="8" t="s">
        <v>15</v>
      </c>
      <c r="B219" s="8" t="s">
        <v>10</v>
      </c>
      <c r="C219" s="135">
        <v>146.31</v>
      </c>
      <c r="D219" s="135">
        <v>95.1</v>
      </c>
      <c r="E219" s="137">
        <v>155</v>
      </c>
      <c r="F219" s="136">
        <v>155</v>
      </c>
      <c r="G219" s="88">
        <f>Tbl_RentabilidadesAjustadas[[#This Row],[Precio unitario (€)]]-Tbl_RentabilidadesAjustadas[[#This Row],[Coste unitario (€)]]</f>
        <v>51.210000000000008</v>
      </c>
      <c r="H219" s="130">
        <v>155</v>
      </c>
      <c r="I219" s="88">
        <f>Tbl_RentabilidadesAjustadas[[#This Row],[Unidades pedidas]]*Tbl_RentabilidadesAjustadas[[#This Row],[Beneficio unitario (€)]]</f>
        <v>7937.5500000000011</v>
      </c>
      <c r="J219" s="131">
        <f>Tbl_RentabilidadesAjustadas[[#This Row],[Beneficio unitario (€)]]*Tbl_RentabilidadesAjustadas[[#This Row],[Unidades a exportar]]</f>
        <v>7937.5500000000011</v>
      </c>
      <c r="K219" s="1"/>
      <c r="L219" s="1"/>
      <c r="M219" s="80" t="s">
        <v>225</v>
      </c>
      <c r="N219" s="103"/>
      <c r="O219" s="103"/>
      <c r="P219" s="103"/>
      <c r="Q219" s="103"/>
      <c r="R219" s="8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</row>
    <row r="220" spans="1:131" ht="17" x14ac:dyDescent="0.25">
      <c r="A220" s="86" t="s">
        <v>15</v>
      </c>
      <c r="B220" s="86" t="s">
        <v>18</v>
      </c>
      <c r="C220" s="135">
        <v>152.61000000000001</v>
      </c>
      <c r="D220" s="135">
        <v>99.2</v>
      </c>
      <c r="E220" s="137">
        <v>175</v>
      </c>
      <c r="F220" s="136">
        <v>175</v>
      </c>
      <c r="G220" s="111">
        <f>Tbl_RentabilidadesAjustadas[[#This Row],[Precio unitario (€)]]-Tbl_RentabilidadesAjustadas[[#This Row],[Coste unitario (€)]]</f>
        <v>53.410000000000011</v>
      </c>
      <c r="H220" s="130">
        <v>175</v>
      </c>
      <c r="I220" s="88">
        <f>Tbl_RentabilidadesAjustadas[[#This Row],[Unidades pedidas]]*Tbl_RentabilidadesAjustadas[[#This Row],[Beneficio unitario (€)]]</f>
        <v>9346.7500000000018</v>
      </c>
      <c r="J220" s="131">
        <f>Tbl_RentabilidadesAjustadas[[#This Row],[Beneficio unitario (€)]]*Tbl_RentabilidadesAjustadas[[#This Row],[Unidades a exportar]]</f>
        <v>9346.7500000000018</v>
      </c>
      <c r="K220" s="1"/>
      <c r="L220" s="1"/>
      <c r="M220" s="80"/>
      <c r="N220" s="138"/>
      <c r="O220" s="103"/>
      <c r="P220" s="103"/>
      <c r="Q220" s="103"/>
      <c r="R220" s="8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</row>
    <row r="221" spans="1:131" ht="17" x14ac:dyDescent="0.25">
      <c r="A221" s="8" t="s">
        <v>15</v>
      </c>
      <c r="B221" s="8" t="s">
        <v>20</v>
      </c>
      <c r="C221" s="135">
        <v>169.75</v>
      </c>
      <c r="D221" s="135">
        <v>110.34</v>
      </c>
      <c r="E221" s="137">
        <v>130</v>
      </c>
      <c r="F221" s="136">
        <v>130</v>
      </c>
      <c r="G221" s="88">
        <f>Tbl_RentabilidadesAjustadas[[#This Row],[Precio unitario (€)]]-Tbl_RentabilidadesAjustadas[[#This Row],[Coste unitario (€)]]</f>
        <v>59.41</v>
      </c>
      <c r="H221" s="130">
        <v>130</v>
      </c>
      <c r="I221" s="88">
        <f>Tbl_RentabilidadesAjustadas[[#This Row],[Unidades pedidas]]*Tbl_RentabilidadesAjustadas[[#This Row],[Beneficio unitario (€)]]</f>
        <v>7723.2999999999993</v>
      </c>
      <c r="J221" s="131">
        <f>Tbl_RentabilidadesAjustadas[[#This Row],[Beneficio unitario (€)]]*Tbl_RentabilidadesAjustadas[[#This Row],[Unidades a exportar]]</f>
        <v>7723.2999999999993</v>
      </c>
      <c r="K221" s="1"/>
      <c r="L221" s="1"/>
      <c r="M221" s="80" t="s">
        <v>226</v>
      </c>
      <c r="N221" s="103"/>
      <c r="O221" s="103"/>
      <c r="P221" s="103"/>
      <c r="Q221" s="103"/>
      <c r="R221" s="8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</row>
    <row r="222" spans="1:131" ht="17" x14ac:dyDescent="0.25">
      <c r="A222" s="86" t="s">
        <v>15</v>
      </c>
      <c r="B222" s="86" t="s">
        <v>13</v>
      </c>
      <c r="C222" s="135">
        <v>125.18</v>
      </c>
      <c r="D222" s="135">
        <v>81.36</v>
      </c>
      <c r="E222" s="137">
        <v>170</v>
      </c>
      <c r="F222" s="136">
        <v>170</v>
      </c>
      <c r="G222" s="111">
        <f>Tbl_RentabilidadesAjustadas[[#This Row],[Precio unitario (€)]]-Tbl_RentabilidadesAjustadas[[#This Row],[Coste unitario (€)]]</f>
        <v>43.820000000000007</v>
      </c>
      <c r="H222" s="130">
        <v>170</v>
      </c>
      <c r="I222" s="88">
        <f>Tbl_RentabilidadesAjustadas[[#This Row],[Unidades pedidas]]*Tbl_RentabilidadesAjustadas[[#This Row],[Beneficio unitario (€)]]</f>
        <v>7449.4000000000015</v>
      </c>
      <c r="J222" s="131">
        <f>Tbl_RentabilidadesAjustadas[[#This Row],[Beneficio unitario (€)]]*Tbl_RentabilidadesAjustadas[[#This Row],[Unidades a exportar]]</f>
        <v>7449.4000000000015</v>
      </c>
      <c r="K222" s="1"/>
      <c r="L222" s="1"/>
      <c r="M222" s="80" t="s">
        <v>227</v>
      </c>
      <c r="N222" s="138"/>
      <c r="O222" s="103"/>
      <c r="P222" s="103"/>
      <c r="Q222" s="103"/>
      <c r="R222" s="8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</row>
    <row r="223" spans="1:131" ht="17" x14ac:dyDescent="0.25">
      <c r="A223" s="8" t="s">
        <v>15</v>
      </c>
      <c r="B223" s="8" t="s">
        <v>16</v>
      </c>
      <c r="C223" s="135">
        <v>162.63</v>
      </c>
      <c r="D223" s="135">
        <v>105.71</v>
      </c>
      <c r="E223" s="137">
        <v>0</v>
      </c>
      <c r="F223" s="136">
        <v>155</v>
      </c>
      <c r="G223" s="88">
        <f>Tbl_RentabilidadesAjustadas[[#This Row],[Precio unitario (€)]]-Tbl_RentabilidadesAjustadas[[#This Row],[Coste unitario (€)]]</f>
        <v>56.92</v>
      </c>
      <c r="H223" s="130">
        <v>0</v>
      </c>
      <c r="I223" s="88">
        <f>Tbl_RentabilidadesAjustadas[[#This Row],[Unidades pedidas]]*Tbl_RentabilidadesAjustadas[[#This Row],[Beneficio unitario (€)]]</f>
        <v>0</v>
      </c>
      <c r="J223" s="131">
        <f>Tbl_RentabilidadesAjustadas[[#This Row],[Beneficio unitario (€)]]*Tbl_RentabilidadesAjustadas[[#This Row],[Unidades a exportar]]</f>
        <v>0</v>
      </c>
      <c r="K223" s="1"/>
      <c r="L223" s="1"/>
      <c r="M223" s="80" t="s">
        <v>228</v>
      </c>
      <c r="N223" s="103"/>
      <c r="O223" s="103"/>
      <c r="P223" s="103"/>
      <c r="Q223" s="103"/>
      <c r="R223" s="8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</row>
    <row r="224" spans="1:131" ht="17" x14ac:dyDescent="0.25">
      <c r="A224" s="86" t="s">
        <v>15</v>
      </c>
      <c r="B224" s="86" t="s">
        <v>8</v>
      </c>
      <c r="C224" s="135">
        <v>151.02000000000001</v>
      </c>
      <c r="D224" s="135">
        <v>98.16</v>
      </c>
      <c r="E224" s="137">
        <v>125</v>
      </c>
      <c r="F224" s="136">
        <v>125</v>
      </c>
      <c r="G224" s="111">
        <f>Tbl_RentabilidadesAjustadas[[#This Row],[Precio unitario (€)]]-Tbl_RentabilidadesAjustadas[[#This Row],[Coste unitario (€)]]</f>
        <v>52.860000000000014</v>
      </c>
      <c r="H224" s="130">
        <v>125</v>
      </c>
      <c r="I224" s="88">
        <f>Tbl_RentabilidadesAjustadas[[#This Row],[Unidades pedidas]]*Tbl_RentabilidadesAjustadas[[#This Row],[Beneficio unitario (€)]]</f>
        <v>6607.5000000000018</v>
      </c>
      <c r="J224" s="131">
        <f>Tbl_RentabilidadesAjustadas[[#This Row],[Beneficio unitario (€)]]*Tbl_RentabilidadesAjustadas[[#This Row],[Unidades a exportar]]</f>
        <v>6607.5000000000018</v>
      </c>
      <c r="K224" s="1"/>
      <c r="L224" s="1"/>
      <c r="M224" s="80"/>
      <c r="N224" s="103"/>
      <c r="O224" s="103"/>
      <c r="P224" s="103"/>
      <c r="Q224" s="103"/>
      <c r="R224" s="8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</row>
    <row r="225" spans="1:131" ht="17" x14ac:dyDescent="0.25">
      <c r="A225" s="8" t="s">
        <v>15</v>
      </c>
      <c r="B225" s="8" t="s">
        <v>14</v>
      </c>
      <c r="C225" s="135">
        <v>125.93</v>
      </c>
      <c r="D225" s="135">
        <v>81.849999999999994</v>
      </c>
      <c r="E225" s="137">
        <v>140</v>
      </c>
      <c r="F225" s="136">
        <v>140</v>
      </c>
      <c r="G225" s="88">
        <f>Tbl_RentabilidadesAjustadas[[#This Row],[Precio unitario (€)]]-Tbl_RentabilidadesAjustadas[[#This Row],[Coste unitario (€)]]</f>
        <v>44.080000000000013</v>
      </c>
      <c r="H225" s="130">
        <v>140</v>
      </c>
      <c r="I225" s="88">
        <f>Tbl_RentabilidadesAjustadas[[#This Row],[Unidades pedidas]]*Tbl_RentabilidadesAjustadas[[#This Row],[Beneficio unitario (€)]]</f>
        <v>6171.2000000000016</v>
      </c>
      <c r="J225" s="131">
        <f>Tbl_RentabilidadesAjustadas[[#This Row],[Beneficio unitario (€)]]*Tbl_RentabilidadesAjustadas[[#This Row],[Unidades a exportar]]</f>
        <v>6171.2000000000016</v>
      </c>
      <c r="K225" s="1"/>
      <c r="L225" s="1"/>
      <c r="M225" s="80" t="s">
        <v>232</v>
      </c>
      <c r="N225" s="103"/>
      <c r="O225" s="103"/>
      <c r="P225" s="103"/>
      <c r="Q225" s="103"/>
      <c r="R225" s="8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</row>
    <row r="226" spans="1:131" ht="17" x14ac:dyDescent="0.25">
      <c r="A226" s="86" t="s">
        <v>15</v>
      </c>
      <c r="B226" s="86" t="s">
        <v>19</v>
      </c>
      <c r="C226" s="135">
        <v>193.11</v>
      </c>
      <c r="D226" s="135">
        <v>125.52</v>
      </c>
      <c r="E226" s="137">
        <v>0</v>
      </c>
      <c r="F226" s="136">
        <v>160</v>
      </c>
      <c r="G226" s="111">
        <f>Tbl_RentabilidadesAjustadas[[#This Row],[Precio unitario (€)]]-Tbl_RentabilidadesAjustadas[[#This Row],[Coste unitario (€)]]</f>
        <v>67.590000000000018</v>
      </c>
      <c r="H226" s="130">
        <v>0</v>
      </c>
      <c r="I226" s="88">
        <f>Tbl_RentabilidadesAjustadas[[#This Row],[Unidades pedidas]]*Tbl_RentabilidadesAjustadas[[#This Row],[Beneficio unitario (€)]]</f>
        <v>0</v>
      </c>
      <c r="J226" s="131">
        <f>Tbl_RentabilidadesAjustadas[[#This Row],[Beneficio unitario (€)]]*Tbl_RentabilidadesAjustadas[[#This Row],[Unidades a exportar]]</f>
        <v>0</v>
      </c>
      <c r="K226" s="1"/>
      <c r="L226" s="1"/>
      <c r="M226" s="80" t="s">
        <v>230</v>
      </c>
      <c r="N226" s="103"/>
      <c r="O226" s="103"/>
      <c r="P226" s="103"/>
      <c r="Q226" s="103"/>
      <c r="R226" s="8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</row>
    <row r="227" spans="1:131" ht="17" x14ac:dyDescent="0.25">
      <c r="A227" s="8" t="s">
        <v>15</v>
      </c>
      <c r="B227" s="8" t="s">
        <v>21</v>
      </c>
      <c r="C227" s="135">
        <v>182.14</v>
      </c>
      <c r="D227" s="135">
        <v>118.39</v>
      </c>
      <c r="E227" s="137">
        <v>160</v>
      </c>
      <c r="F227" s="136">
        <v>160</v>
      </c>
      <c r="G227" s="88">
        <f>Tbl_RentabilidadesAjustadas[[#This Row],[Precio unitario (€)]]-Tbl_RentabilidadesAjustadas[[#This Row],[Coste unitario (€)]]</f>
        <v>63.749999999999986</v>
      </c>
      <c r="H227" s="130">
        <v>160</v>
      </c>
      <c r="I227" s="88">
        <f>Tbl_RentabilidadesAjustadas[[#This Row],[Unidades pedidas]]*Tbl_RentabilidadesAjustadas[[#This Row],[Beneficio unitario (€)]]</f>
        <v>10199.999999999998</v>
      </c>
      <c r="J227" s="131">
        <f>Tbl_RentabilidadesAjustadas[[#This Row],[Beneficio unitario (€)]]*Tbl_RentabilidadesAjustadas[[#This Row],[Unidades a exportar]]</f>
        <v>10199.999999999998</v>
      </c>
      <c r="K227" s="1"/>
      <c r="L227" s="1"/>
      <c r="M227" s="80" t="s">
        <v>229</v>
      </c>
      <c r="N227" s="103"/>
      <c r="O227" s="103"/>
      <c r="P227" s="103"/>
      <c r="Q227" s="103"/>
      <c r="R227" s="8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</row>
    <row r="228" spans="1:131" ht="17" x14ac:dyDescent="0.25">
      <c r="A228" s="86" t="s">
        <v>15</v>
      </c>
      <c r="B228" s="86" t="s">
        <v>11</v>
      </c>
      <c r="C228" s="135">
        <v>137.38</v>
      </c>
      <c r="D228" s="135">
        <v>89.3</v>
      </c>
      <c r="E228" s="137">
        <v>145</v>
      </c>
      <c r="F228" s="136">
        <v>145</v>
      </c>
      <c r="G228" s="111">
        <f>Tbl_RentabilidadesAjustadas[[#This Row],[Precio unitario (€)]]-Tbl_RentabilidadesAjustadas[[#This Row],[Coste unitario (€)]]</f>
        <v>48.08</v>
      </c>
      <c r="H228" s="130">
        <v>145</v>
      </c>
      <c r="I228" s="88">
        <f>Tbl_RentabilidadesAjustadas[[#This Row],[Unidades pedidas]]*Tbl_RentabilidadesAjustadas[[#This Row],[Beneficio unitario (€)]]</f>
        <v>6971.5999999999995</v>
      </c>
      <c r="J228" s="131">
        <f>Tbl_RentabilidadesAjustadas[[#This Row],[Beneficio unitario (€)]]*Tbl_RentabilidadesAjustadas[[#This Row],[Unidades a exportar]]</f>
        <v>6971.5999999999995</v>
      </c>
      <c r="K228" s="1"/>
      <c r="L228" s="1"/>
      <c r="M228" s="82"/>
      <c r="N228" s="105"/>
      <c r="O228" s="83"/>
      <c r="P228" s="83"/>
      <c r="Q228" s="83"/>
      <c r="R228" s="84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</row>
    <row r="229" spans="1:131" ht="17" x14ac:dyDescent="0.25">
      <c r="A229" s="8" t="s">
        <v>9</v>
      </c>
      <c r="B229" s="8" t="s">
        <v>10</v>
      </c>
      <c r="C229" s="135">
        <v>157.52000000000001</v>
      </c>
      <c r="D229" s="135">
        <v>102.38</v>
      </c>
      <c r="E229" s="137">
        <v>135</v>
      </c>
      <c r="F229" s="136">
        <v>135</v>
      </c>
      <c r="G229" s="88">
        <f>Tbl_RentabilidadesAjustadas[[#This Row],[Precio unitario (€)]]-Tbl_RentabilidadesAjustadas[[#This Row],[Coste unitario (€)]]</f>
        <v>55.140000000000015</v>
      </c>
      <c r="H229" s="130">
        <v>135</v>
      </c>
      <c r="I229" s="88">
        <f>Tbl_RentabilidadesAjustadas[[#This Row],[Unidades pedidas]]*Tbl_RentabilidadesAjustadas[[#This Row],[Beneficio unitario (€)]]</f>
        <v>7443.9000000000024</v>
      </c>
      <c r="J229" s="131">
        <f>Tbl_RentabilidadesAjustadas[[#This Row],[Beneficio unitario (€)]]*Tbl_RentabilidadesAjustadas[[#This Row],[Unidades a exportar]]</f>
        <v>7443.9000000000024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</row>
    <row r="230" spans="1:131" ht="17" x14ac:dyDescent="0.25">
      <c r="A230" s="86" t="s">
        <v>9</v>
      </c>
      <c r="B230" s="86" t="s">
        <v>18</v>
      </c>
      <c r="C230" s="135">
        <v>98.05</v>
      </c>
      <c r="D230" s="135">
        <v>63.73</v>
      </c>
      <c r="E230" s="137">
        <v>180</v>
      </c>
      <c r="F230" s="136">
        <v>180</v>
      </c>
      <c r="G230" s="111">
        <f>Tbl_RentabilidadesAjustadas[[#This Row],[Precio unitario (€)]]-Tbl_RentabilidadesAjustadas[[#This Row],[Coste unitario (€)]]</f>
        <v>34.32</v>
      </c>
      <c r="H230" s="130">
        <v>180</v>
      </c>
      <c r="I230" s="88">
        <f>Tbl_RentabilidadesAjustadas[[#This Row],[Unidades pedidas]]*Tbl_RentabilidadesAjustadas[[#This Row],[Beneficio unitario (€)]]</f>
        <v>6177.6</v>
      </c>
      <c r="J230" s="131">
        <f>Tbl_RentabilidadesAjustadas[[#This Row],[Beneficio unitario (€)]]*Tbl_RentabilidadesAjustadas[[#This Row],[Unidades a exportar]]</f>
        <v>6177.6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</row>
    <row r="231" spans="1:131" ht="17" x14ac:dyDescent="0.25">
      <c r="A231" s="8" t="s">
        <v>9</v>
      </c>
      <c r="B231" s="8" t="s">
        <v>20</v>
      </c>
      <c r="C231" s="135">
        <v>123.43</v>
      </c>
      <c r="D231" s="135">
        <v>80.23</v>
      </c>
      <c r="E231" s="137">
        <v>120</v>
      </c>
      <c r="F231" s="136">
        <v>120</v>
      </c>
      <c r="G231" s="88">
        <f>Tbl_RentabilidadesAjustadas[[#This Row],[Precio unitario (€)]]-Tbl_RentabilidadesAjustadas[[#This Row],[Coste unitario (€)]]</f>
        <v>43.2</v>
      </c>
      <c r="H231" s="130">
        <v>120</v>
      </c>
      <c r="I231" s="88">
        <f>Tbl_RentabilidadesAjustadas[[#This Row],[Unidades pedidas]]*Tbl_RentabilidadesAjustadas[[#This Row],[Beneficio unitario (€)]]</f>
        <v>5184</v>
      </c>
      <c r="J231" s="131">
        <f>Tbl_RentabilidadesAjustadas[[#This Row],[Beneficio unitario (€)]]*Tbl_RentabilidadesAjustadas[[#This Row],[Unidades a exportar]]</f>
        <v>5184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</row>
    <row r="232" spans="1:131" ht="17" x14ac:dyDescent="0.25">
      <c r="A232" s="86" t="s">
        <v>9</v>
      </c>
      <c r="B232" s="86" t="s">
        <v>13</v>
      </c>
      <c r="C232" s="135">
        <v>57.61</v>
      </c>
      <c r="D232" s="135">
        <v>37.450000000000003</v>
      </c>
      <c r="E232" s="137">
        <v>120</v>
      </c>
      <c r="F232" s="136">
        <v>120</v>
      </c>
      <c r="G232" s="111">
        <f>Tbl_RentabilidadesAjustadas[[#This Row],[Precio unitario (€)]]-Tbl_RentabilidadesAjustadas[[#This Row],[Coste unitario (€)]]</f>
        <v>20.159999999999997</v>
      </c>
      <c r="H232" s="130">
        <v>110</v>
      </c>
      <c r="I232" s="88">
        <f>Tbl_RentabilidadesAjustadas[[#This Row],[Unidades pedidas]]*Tbl_RentabilidadesAjustadas[[#This Row],[Beneficio unitario (€)]]</f>
        <v>2419.1999999999998</v>
      </c>
      <c r="J232" s="131">
        <f>Tbl_RentabilidadesAjustadas[[#This Row],[Beneficio unitario (€)]]*Tbl_RentabilidadesAjustadas[[#This Row],[Unidades a exportar]]</f>
        <v>2217.5999999999995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</row>
    <row r="233" spans="1:131" ht="17" x14ac:dyDescent="0.25">
      <c r="A233" s="8" t="s">
        <v>9</v>
      </c>
      <c r="B233" s="8" t="s">
        <v>16</v>
      </c>
      <c r="C233" s="135">
        <v>237.09</v>
      </c>
      <c r="D233" s="135">
        <v>154.11000000000001</v>
      </c>
      <c r="E233" s="137">
        <v>125</v>
      </c>
      <c r="F233" s="136">
        <v>125</v>
      </c>
      <c r="G233" s="88">
        <f>Tbl_RentabilidadesAjustadas[[#This Row],[Precio unitario (€)]]-Tbl_RentabilidadesAjustadas[[#This Row],[Coste unitario (€)]]</f>
        <v>82.97999999999999</v>
      </c>
      <c r="H233" s="130">
        <v>125</v>
      </c>
      <c r="I233" s="88">
        <f>Tbl_RentabilidadesAjustadas[[#This Row],[Unidades pedidas]]*Tbl_RentabilidadesAjustadas[[#This Row],[Beneficio unitario (€)]]</f>
        <v>10372.499999999998</v>
      </c>
      <c r="J233" s="131">
        <f>Tbl_RentabilidadesAjustadas[[#This Row],[Beneficio unitario (€)]]*Tbl_RentabilidadesAjustadas[[#This Row],[Unidades a exportar]]</f>
        <v>10372.499999999998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</row>
    <row r="234" spans="1:131" ht="17" x14ac:dyDescent="0.25">
      <c r="A234" s="86" t="s">
        <v>9</v>
      </c>
      <c r="B234" s="86" t="s">
        <v>8</v>
      </c>
      <c r="C234" s="135">
        <v>247.7</v>
      </c>
      <c r="D234" s="135">
        <v>161.01</v>
      </c>
      <c r="E234" s="137">
        <v>65</v>
      </c>
      <c r="F234" s="136">
        <v>65</v>
      </c>
      <c r="G234" s="111">
        <f>Tbl_RentabilidadesAjustadas[[#This Row],[Precio unitario (€)]]-Tbl_RentabilidadesAjustadas[[#This Row],[Coste unitario (€)]]</f>
        <v>86.69</v>
      </c>
      <c r="H234" s="130">
        <v>65</v>
      </c>
      <c r="I234" s="88">
        <f>Tbl_RentabilidadesAjustadas[[#This Row],[Unidades pedidas]]*Tbl_RentabilidadesAjustadas[[#This Row],[Beneficio unitario (€)]]</f>
        <v>5634.8499999999995</v>
      </c>
      <c r="J234" s="131">
        <f>Tbl_RentabilidadesAjustadas[[#This Row],[Beneficio unitario (€)]]*Tbl_RentabilidadesAjustadas[[#This Row],[Unidades a exportar]]</f>
        <v>5634.8499999999995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</row>
    <row r="235" spans="1:131" ht="17" x14ac:dyDescent="0.25">
      <c r="A235" s="8" t="s">
        <v>9</v>
      </c>
      <c r="B235" s="8" t="s">
        <v>14</v>
      </c>
      <c r="C235" s="135">
        <v>154.49</v>
      </c>
      <c r="D235" s="135">
        <v>100.42</v>
      </c>
      <c r="E235" s="137">
        <v>65</v>
      </c>
      <c r="F235" s="136">
        <v>65</v>
      </c>
      <c r="G235" s="88">
        <f>Tbl_RentabilidadesAjustadas[[#This Row],[Precio unitario (€)]]-Tbl_RentabilidadesAjustadas[[#This Row],[Coste unitario (€)]]</f>
        <v>54.070000000000007</v>
      </c>
      <c r="H235" s="130">
        <v>65</v>
      </c>
      <c r="I235" s="88">
        <f>Tbl_RentabilidadesAjustadas[[#This Row],[Unidades pedidas]]*Tbl_RentabilidadesAjustadas[[#This Row],[Beneficio unitario (€)]]</f>
        <v>3514.5500000000006</v>
      </c>
      <c r="J235" s="131">
        <f>Tbl_RentabilidadesAjustadas[[#This Row],[Beneficio unitario (€)]]*Tbl_RentabilidadesAjustadas[[#This Row],[Unidades a exportar]]</f>
        <v>3514.5500000000006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</row>
    <row r="236" spans="1:131" ht="17" x14ac:dyDescent="0.25">
      <c r="A236" s="86" t="s">
        <v>9</v>
      </c>
      <c r="B236" s="86" t="s">
        <v>19</v>
      </c>
      <c r="C236" s="135">
        <v>82.95</v>
      </c>
      <c r="D236" s="135">
        <v>53.92</v>
      </c>
      <c r="E236" s="137">
        <v>65</v>
      </c>
      <c r="F236" s="136">
        <v>55</v>
      </c>
      <c r="G236" s="111">
        <f>Tbl_RentabilidadesAjustadas[[#This Row],[Precio unitario (€)]]-Tbl_RentabilidadesAjustadas[[#This Row],[Coste unitario (€)]]</f>
        <v>29.03</v>
      </c>
      <c r="H236" s="130">
        <v>65</v>
      </c>
      <c r="I236" s="88">
        <f>Tbl_RentabilidadesAjustadas[[#This Row],[Unidades pedidas]]*Tbl_RentabilidadesAjustadas[[#This Row],[Beneficio unitario (€)]]</f>
        <v>1886.95</v>
      </c>
      <c r="J236" s="131">
        <f>Tbl_RentabilidadesAjustadas[[#This Row],[Beneficio unitario (€)]]*Tbl_RentabilidadesAjustadas[[#This Row],[Unidades a exportar]]</f>
        <v>1886.95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</row>
    <row r="237" spans="1:131" ht="17" x14ac:dyDescent="0.25">
      <c r="A237" s="8" t="s">
        <v>9</v>
      </c>
      <c r="B237" s="8" t="s">
        <v>21</v>
      </c>
      <c r="C237" s="135">
        <v>157.94999999999999</v>
      </c>
      <c r="D237" s="135">
        <v>102.66</v>
      </c>
      <c r="E237" s="137">
        <v>55</v>
      </c>
      <c r="F237" s="136">
        <v>55</v>
      </c>
      <c r="G237" s="88">
        <f>Tbl_RentabilidadesAjustadas[[#This Row],[Precio unitario (€)]]-Tbl_RentabilidadesAjustadas[[#This Row],[Coste unitario (€)]]</f>
        <v>55.289999999999992</v>
      </c>
      <c r="H237" s="130">
        <v>55</v>
      </c>
      <c r="I237" s="88">
        <f>Tbl_RentabilidadesAjustadas[[#This Row],[Unidades pedidas]]*Tbl_RentabilidadesAjustadas[[#This Row],[Beneficio unitario (€)]]</f>
        <v>3040.9499999999994</v>
      </c>
      <c r="J237" s="131">
        <f>Tbl_RentabilidadesAjustadas[[#This Row],[Beneficio unitario (€)]]*Tbl_RentabilidadesAjustadas[[#This Row],[Unidades a exportar]]</f>
        <v>3040.9499999999994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</row>
    <row r="238" spans="1:131" ht="17" x14ac:dyDescent="0.25">
      <c r="A238" s="86" t="s">
        <v>9</v>
      </c>
      <c r="B238" s="86" t="s">
        <v>11</v>
      </c>
      <c r="C238" s="135">
        <v>151.36000000000001</v>
      </c>
      <c r="D238" s="135">
        <v>98.38</v>
      </c>
      <c r="E238" s="137">
        <v>50</v>
      </c>
      <c r="F238" s="136">
        <v>50</v>
      </c>
      <c r="G238" s="111">
        <f>Tbl_RentabilidadesAjustadas[[#This Row],[Precio unitario (€)]]-Tbl_RentabilidadesAjustadas[[#This Row],[Coste unitario (€)]]</f>
        <v>52.980000000000018</v>
      </c>
      <c r="H238" s="130">
        <v>50</v>
      </c>
      <c r="I238" s="88">
        <f>Tbl_RentabilidadesAjustadas[[#This Row],[Unidades pedidas]]*Tbl_RentabilidadesAjustadas[[#This Row],[Beneficio unitario (€)]]</f>
        <v>2649.0000000000009</v>
      </c>
      <c r="J238" s="131">
        <f>Tbl_RentabilidadesAjustadas[[#This Row],[Beneficio unitario (€)]]*Tbl_RentabilidadesAjustadas[[#This Row],[Unidades a exportar]]</f>
        <v>2649.0000000000009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</row>
    <row r="239" spans="1:131" ht="17" x14ac:dyDescent="0.25">
      <c r="A239" s="8" t="s">
        <v>22</v>
      </c>
      <c r="B239" s="8" t="s">
        <v>10</v>
      </c>
      <c r="C239" s="135">
        <v>88.07</v>
      </c>
      <c r="D239" s="135">
        <v>160</v>
      </c>
      <c r="E239" s="137">
        <v>55</v>
      </c>
      <c r="F239" s="136">
        <v>50</v>
      </c>
      <c r="G239" s="88">
        <f>Tbl_RentabilidadesAjustadas[[#This Row],[Precio unitario (€)]]-Tbl_RentabilidadesAjustadas[[#This Row],[Coste unitario (€)]]</f>
        <v>-71.930000000000007</v>
      </c>
      <c r="H239" s="130">
        <v>0</v>
      </c>
      <c r="I239" s="88">
        <f>Tbl_RentabilidadesAjustadas[[#This Row],[Unidades pedidas]]*Tbl_RentabilidadesAjustadas[[#This Row],[Beneficio unitario (€)]]</f>
        <v>-3956.1500000000005</v>
      </c>
      <c r="J239" s="131">
        <f>Tbl_RentabilidadesAjustadas[[#This Row],[Beneficio unitario (€)]]*Tbl_RentabilidadesAjustadas[[#This Row],[Unidades a exportar]]</f>
        <v>0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</row>
    <row r="240" spans="1:131" ht="17" x14ac:dyDescent="0.25">
      <c r="A240" s="86" t="s">
        <v>22</v>
      </c>
      <c r="B240" s="86" t="s">
        <v>18</v>
      </c>
      <c r="C240" s="135">
        <v>137.61000000000001</v>
      </c>
      <c r="D240" s="135">
        <v>170</v>
      </c>
      <c r="E240" s="137">
        <v>50</v>
      </c>
      <c r="F240" s="136">
        <v>50</v>
      </c>
      <c r="G240" s="111">
        <f>Tbl_RentabilidadesAjustadas[[#This Row],[Precio unitario (€)]]-Tbl_RentabilidadesAjustadas[[#This Row],[Coste unitario (€)]]</f>
        <v>-32.389999999999986</v>
      </c>
      <c r="H240" s="130">
        <v>0</v>
      </c>
      <c r="I240" s="88">
        <f>Tbl_RentabilidadesAjustadas[[#This Row],[Unidades pedidas]]*Tbl_RentabilidadesAjustadas[[#This Row],[Beneficio unitario (€)]]</f>
        <v>-1619.4999999999993</v>
      </c>
      <c r="J240" s="131">
        <f>Tbl_RentabilidadesAjustadas[[#This Row],[Beneficio unitario (€)]]*Tbl_RentabilidadesAjustadas[[#This Row],[Unidades a exportar]]</f>
        <v>0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</row>
    <row r="241" spans="1:131" ht="17" x14ac:dyDescent="0.25">
      <c r="A241" s="8" t="s">
        <v>22</v>
      </c>
      <c r="B241" s="8" t="s">
        <v>20</v>
      </c>
      <c r="C241" s="135">
        <v>127.88</v>
      </c>
      <c r="D241" s="135">
        <v>165</v>
      </c>
      <c r="E241" s="137">
        <v>50</v>
      </c>
      <c r="F241" s="136">
        <v>50</v>
      </c>
      <c r="G241" s="88">
        <f>Tbl_RentabilidadesAjustadas[[#This Row],[Precio unitario (€)]]-Tbl_RentabilidadesAjustadas[[#This Row],[Coste unitario (€)]]</f>
        <v>-37.120000000000005</v>
      </c>
      <c r="H241" s="130">
        <v>0</v>
      </c>
      <c r="I241" s="88">
        <f>Tbl_RentabilidadesAjustadas[[#This Row],[Unidades pedidas]]*Tbl_RentabilidadesAjustadas[[#This Row],[Beneficio unitario (€)]]</f>
        <v>-1856.0000000000002</v>
      </c>
      <c r="J241" s="131">
        <f>Tbl_RentabilidadesAjustadas[[#This Row],[Beneficio unitario (€)]]*Tbl_RentabilidadesAjustadas[[#This Row],[Unidades a exportar]]</f>
        <v>0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</row>
    <row r="242" spans="1:131" ht="17" x14ac:dyDescent="0.25">
      <c r="A242" s="86" t="s">
        <v>22</v>
      </c>
      <c r="B242" s="86" t="s">
        <v>13</v>
      </c>
      <c r="C242" s="135">
        <v>85.54</v>
      </c>
      <c r="D242" s="135">
        <v>155</v>
      </c>
      <c r="E242" s="137">
        <v>50</v>
      </c>
      <c r="F242" s="136">
        <v>45</v>
      </c>
      <c r="G242" s="111">
        <f>Tbl_RentabilidadesAjustadas[[#This Row],[Precio unitario (€)]]-Tbl_RentabilidadesAjustadas[[#This Row],[Coste unitario (€)]]</f>
        <v>-69.459999999999994</v>
      </c>
      <c r="H242" s="130">
        <v>0</v>
      </c>
      <c r="I242" s="88">
        <f>Tbl_RentabilidadesAjustadas[[#This Row],[Unidades pedidas]]*Tbl_RentabilidadesAjustadas[[#This Row],[Beneficio unitario (€)]]</f>
        <v>-3472.9999999999995</v>
      </c>
      <c r="J242" s="131">
        <f>Tbl_RentabilidadesAjustadas[[#This Row],[Beneficio unitario (€)]]*Tbl_RentabilidadesAjustadas[[#This Row],[Unidades a exportar]]</f>
        <v>0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</row>
    <row r="243" spans="1:131" ht="17" x14ac:dyDescent="0.25">
      <c r="A243" s="8" t="s">
        <v>22</v>
      </c>
      <c r="B243" s="8" t="s">
        <v>16</v>
      </c>
      <c r="C243" s="135">
        <v>123.58</v>
      </c>
      <c r="D243" s="135">
        <v>150</v>
      </c>
      <c r="E243" s="137">
        <v>45</v>
      </c>
      <c r="F243" s="136">
        <v>45</v>
      </c>
      <c r="G243" s="88">
        <f>Tbl_RentabilidadesAjustadas[[#This Row],[Precio unitario (€)]]-Tbl_RentabilidadesAjustadas[[#This Row],[Coste unitario (€)]]</f>
        <v>-26.42</v>
      </c>
      <c r="H243" s="130">
        <v>0</v>
      </c>
      <c r="I243" s="88">
        <f>Tbl_RentabilidadesAjustadas[[#This Row],[Unidades pedidas]]*Tbl_RentabilidadesAjustadas[[#This Row],[Beneficio unitario (€)]]</f>
        <v>-1188.9000000000001</v>
      </c>
      <c r="J243" s="131">
        <f>Tbl_RentabilidadesAjustadas[[#This Row],[Beneficio unitario (€)]]*Tbl_RentabilidadesAjustadas[[#This Row],[Unidades a exportar]]</f>
        <v>0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</row>
    <row r="244" spans="1:131" ht="17" x14ac:dyDescent="0.25">
      <c r="A244" s="86" t="s">
        <v>22</v>
      </c>
      <c r="B244" s="86" t="s">
        <v>14</v>
      </c>
      <c r="C244" s="135">
        <v>142.97999999999999</v>
      </c>
      <c r="D244" s="135">
        <v>145</v>
      </c>
      <c r="E244" s="137">
        <v>45</v>
      </c>
      <c r="F244" s="136">
        <v>45</v>
      </c>
      <c r="G244" s="111">
        <f>Tbl_RentabilidadesAjustadas[[#This Row],[Precio unitario (€)]]-Tbl_RentabilidadesAjustadas[[#This Row],[Coste unitario (€)]]</f>
        <v>-2.0200000000000102</v>
      </c>
      <c r="H244" s="130">
        <v>0</v>
      </c>
      <c r="I244" s="88">
        <f>Tbl_RentabilidadesAjustadas[[#This Row],[Unidades pedidas]]*Tbl_RentabilidadesAjustadas[[#This Row],[Beneficio unitario (€)]]</f>
        <v>-90.90000000000046</v>
      </c>
      <c r="J244" s="131">
        <f>Tbl_RentabilidadesAjustadas[[#This Row],[Beneficio unitario (€)]]*Tbl_RentabilidadesAjustadas[[#This Row],[Unidades a exportar]]</f>
        <v>0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</row>
    <row r="245" spans="1:131" ht="17" x14ac:dyDescent="0.25">
      <c r="A245" s="8" t="s">
        <v>22</v>
      </c>
      <c r="B245" s="8" t="s">
        <v>19</v>
      </c>
      <c r="C245" s="135">
        <v>138.76</v>
      </c>
      <c r="D245" s="135">
        <v>155</v>
      </c>
      <c r="E245" s="137">
        <v>45</v>
      </c>
      <c r="F245" s="136">
        <v>45</v>
      </c>
      <c r="G245" s="88">
        <f>Tbl_RentabilidadesAjustadas[[#This Row],[Precio unitario (€)]]-Tbl_RentabilidadesAjustadas[[#This Row],[Coste unitario (€)]]</f>
        <v>-16.240000000000009</v>
      </c>
      <c r="H245" s="130">
        <v>0</v>
      </c>
      <c r="I245" s="88">
        <f>Tbl_RentabilidadesAjustadas[[#This Row],[Unidades pedidas]]*Tbl_RentabilidadesAjustadas[[#This Row],[Beneficio unitario (€)]]</f>
        <v>-730.80000000000041</v>
      </c>
      <c r="J245" s="131">
        <f>Tbl_RentabilidadesAjustadas[[#This Row],[Beneficio unitario (€)]]*Tbl_RentabilidadesAjustadas[[#This Row],[Unidades a exportar]]</f>
        <v>0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</row>
    <row r="246" spans="1:131" ht="17" x14ac:dyDescent="0.25">
      <c r="A246" s="86" t="s">
        <v>22</v>
      </c>
      <c r="B246" s="86" t="s">
        <v>21</v>
      </c>
      <c r="C246" s="135">
        <v>103.76</v>
      </c>
      <c r="D246" s="135">
        <v>160</v>
      </c>
      <c r="E246" s="137">
        <v>45</v>
      </c>
      <c r="F246" s="136">
        <v>45</v>
      </c>
      <c r="G246" s="111">
        <f>Tbl_RentabilidadesAjustadas[[#This Row],[Precio unitario (€)]]-Tbl_RentabilidadesAjustadas[[#This Row],[Coste unitario (€)]]</f>
        <v>-56.239999999999995</v>
      </c>
      <c r="H246" s="130">
        <v>0</v>
      </c>
      <c r="I246" s="88">
        <f>Tbl_RentabilidadesAjustadas[[#This Row],[Unidades pedidas]]*Tbl_RentabilidadesAjustadas[[#This Row],[Beneficio unitario (€)]]</f>
        <v>-2530.7999999999997</v>
      </c>
      <c r="J246" s="131">
        <f>Tbl_RentabilidadesAjustadas[[#This Row],[Beneficio unitario (€)]]*Tbl_RentabilidadesAjustadas[[#This Row],[Unidades a exportar]]</f>
        <v>0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</row>
    <row r="247" spans="1:131" ht="17" x14ac:dyDescent="0.25">
      <c r="A247" s="8" t="s">
        <v>22</v>
      </c>
      <c r="B247" s="8" t="s">
        <v>11</v>
      </c>
      <c r="C247" s="135">
        <v>65.86</v>
      </c>
      <c r="D247" s="135">
        <v>148</v>
      </c>
      <c r="E247" s="137">
        <v>45</v>
      </c>
      <c r="F247" s="136">
        <v>45</v>
      </c>
      <c r="G247" s="88">
        <f>Tbl_RentabilidadesAjustadas[[#This Row],[Precio unitario (€)]]-Tbl_RentabilidadesAjustadas[[#This Row],[Coste unitario (€)]]</f>
        <v>-82.14</v>
      </c>
      <c r="H247" s="130">
        <v>0</v>
      </c>
      <c r="I247" s="88">
        <f>Tbl_RentabilidadesAjustadas[[#This Row],[Unidades pedidas]]*Tbl_RentabilidadesAjustadas[[#This Row],[Beneficio unitario (€)]]</f>
        <v>-3696.3</v>
      </c>
      <c r="J247" s="131">
        <f>Tbl_RentabilidadesAjustadas[[#This Row],[Beneficio unitario (€)]]*Tbl_RentabilidadesAjustadas[[#This Row],[Unidades a exportar]]</f>
        <v>0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</row>
    <row r="248" spans="1:131" ht="17" x14ac:dyDescent="0.25">
      <c r="A248" s="86" t="s">
        <v>23</v>
      </c>
      <c r="B248" s="86" t="s">
        <v>10</v>
      </c>
      <c r="C248" s="135">
        <v>149.80000000000001</v>
      </c>
      <c r="D248" s="135">
        <v>97.37</v>
      </c>
      <c r="E248" s="137">
        <v>45</v>
      </c>
      <c r="F248" s="136">
        <v>45</v>
      </c>
      <c r="G248" s="111">
        <f>Tbl_RentabilidadesAjustadas[[#This Row],[Precio unitario (€)]]-Tbl_RentabilidadesAjustadas[[#This Row],[Coste unitario (€)]]</f>
        <v>52.430000000000007</v>
      </c>
      <c r="H248" s="130">
        <v>45</v>
      </c>
      <c r="I248" s="88">
        <f>Tbl_RentabilidadesAjustadas[[#This Row],[Unidades pedidas]]*Tbl_RentabilidadesAjustadas[[#This Row],[Beneficio unitario (€)]]</f>
        <v>2359.3500000000004</v>
      </c>
      <c r="J248" s="131">
        <f>Tbl_RentabilidadesAjustadas[[#This Row],[Beneficio unitario (€)]]*Tbl_RentabilidadesAjustadas[[#This Row],[Unidades a exportar]]</f>
        <v>2359.3500000000004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</row>
    <row r="249" spans="1:131" ht="17" x14ac:dyDescent="0.25">
      <c r="A249" s="8" t="s">
        <v>23</v>
      </c>
      <c r="B249" s="8" t="s">
        <v>18</v>
      </c>
      <c r="C249" s="135">
        <v>143.69</v>
      </c>
      <c r="D249" s="135">
        <v>93.4</v>
      </c>
      <c r="E249" s="137">
        <v>45</v>
      </c>
      <c r="F249" s="136">
        <v>45</v>
      </c>
      <c r="G249" s="88">
        <f>Tbl_RentabilidadesAjustadas[[#This Row],[Precio unitario (€)]]-Tbl_RentabilidadesAjustadas[[#This Row],[Coste unitario (€)]]</f>
        <v>50.289999999999992</v>
      </c>
      <c r="H249" s="130">
        <v>45</v>
      </c>
      <c r="I249" s="88">
        <f>Tbl_RentabilidadesAjustadas[[#This Row],[Unidades pedidas]]*Tbl_RentabilidadesAjustadas[[#This Row],[Beneficio unitario (€)]]</f>
        <v>2263.0499999999997</v>
      </c>
      <c r="J249" s="131">
        <f>Tbl_RentabilidadesAjustadas[[#This Row],[Beneficio unitario (€)]]*Tbl_RentabilidadesAjustadas[[#This Row],[Unidades a exportar]]</f>
        <v>2263.0499999999997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</row>
    <row r="250" spans="1:131" ht="17" x14ac:dyDescent="0.25">
      <c r="A250" s="86" t="s">
        <v>23</v>
      </c>
      <c r="B250" s="86" t="s">
        <v>20</v>
      </c>
      <c r="C250" s="135">
        <v>212.38</v>
      </c>
      <c r="D250" s="135">
        <v>138.05000000000001</v>
      </c>
      <c r="E250" s="137">
        <v>45</v>
      </c>
      <c r="F250" s="136">
        <v>45</v>
      </c>
      <c r="G250" s="111">
        <f>Tbl_RentabilidadesAjustadas[[#This Row],[Precio unitario (€)]]-Tbl_RentabilidadesAjustadas[[#This Row],[Coste unitario (€)]]</f>
        <v>74.329999999999984</v>
      </c>
      <c r="H250" s="130">
        <v>45</v>
      </c>
      <c r="I250" s="88">
        <f>Tbl_RentabilidadesAjustadas[[#This Row],[Unidades pedidas]]*Tbl_RentabilidadesAjustadas[[#This Row],[Beneficio unitario (€)]]</f>
        <v>3344.8499999999995</v>
      </c>
      <c r="J250" s="131">
        <f>Tbl_RentabilidadesAjustadas[[#This Row],[Beneficio unitario (€)]]*Tbl_RentabilidadesAjustadas[[#This Row],[Unidades a exportar]]</f>
        <v>3344.8499999999995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</row>
    <row r="251" spans="1:131" ht="17" x14ac:dyDescent="0.25">
      <c r="A251" s="8" t="s">
        <v>23</v>
      </c>
      <c r="B251" s="8" t="s">
        <v>13</v>
      </c>
      <c r="C251" s="135">
        <v>155.72999999999999</v>
      </c>
      <c r="D251" s="135">
        <v>101.22</v>
      </c>
      <c r="E251" s="137">
        <v>45</v>
      </c>
      <c r="F251" s="136">
        <v>45</v>
      </c>
      <c r="G251" s="88">
        <f>Tbl_RentabilidadesAjustadas[[#This Row],[Precio unitario (€)]]-Tbl_RentabilidadesAjustadas[[#This Row],[Coste unitario (€)]]</f>
        <v>54.509999999999991</v>
      </c>
      <c r="H251" s="130">
        <v>45</v>
      </c>
      <c r="I251" s="88">
        <f>Tbl_RentabilidadesAjustadas[[#This Row],[Unidades pedidas]]*Tbl_RentabilidadesAjustadas[[#This Row],[Beneficio unitario (€)]]</f>
        <v>2452.9499999999998</v>
      </c>
      <c r="J251" s="131">
        <f>Tbl_RentabilidadesAjustadas[[#This Row],[Beneficio unitario (€)]]*Tbl_RentabilidadesAjustadas[[#This Row],[Unidades a exportar]]</f>
        <v>2452.9499999999998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</row>
    <row r="252" spans="1:131" ht="17" x14ac:dyDescent="0.25">
      <c r="A252" s="86" t="s">
        <v>23</v>
      </c>
      <c r="B252" s="86" t="s">
        <v>16</v>
      </c>
      <c r="C252" s="135">
        <v>204.75</v>
      </c>
      <c r="D252" s="135">
        <v>133.09</v>
      </c>
      <c r="E252" s="137">
        <v>45</v>
      </c>
      <c r="F252" s="136">
        <v>45</v>
      </c>
      <c r="G252" s="111">
        <f>Tbl_RentabilidadesAjustadas[[#This Row],[Precio unitario (€)]]-Tbl_RentabilidadesAjustadas[[#This Row],[Coste unitario (€)]]</f>
        <v>71.66</v>
      </c>
      <c r="H252" s="130">
        <v>45</v>
      </c>
      <c r="I252" s="88">
        <f>Tbl_RentabilidadesAjustadas[[#This Row],[Unidades pedidas]]*Tbl_RentabilidadesAjustadas[[#This Row],[Beneficio unitario (€)]]</f>
        <v>3224.7</v>
      </c>
      <c r="J252" s="131">
        <f>Tbl_RentabilidadesAjustadas[[#This Row],[Beneficio unitario (€)]]*Tbl_RentabilidadesAjustadas[[#This Row],[Unidades a exportar]]</f>
        <v>3224.7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</row>
    <row r="253" spans="1:131" ht="17" x14ac:dyDescent="0.25">
      <c r="A253" s="8" t="s">
        <v>23</v>
      </c>
      <c r="B253" s="8" t="s">
        <v>8</v>
      </c>
      <c r="C253" s="135">
        <v>181.72</v>
      </c>
      <c r="D253" s="135">
        <v>118.12</v>
      </c>
      <c r="E253" s="137">
        <v>45</v>
      </c>
      <c r="F253" s="136">
        <v>50</v>
      </c>
      <c r="G253" s="88">
        <f>Tbl_RentabilidadesAjustadas[[#This Row],[Precio unitario (€)]]-Tbl_RentabilidadesAjustadas[[#This Row],[Coste unitario (€)]]</f>
        <v>63.599999999999994</v>
      </c>
      <c r="H253" s="130">
        <v>45</v>
      </c>
      <c r="I253" s="88">
        <f>Tbl_RentabilidadesAjustadas[[#This Row],[Unidades pedidas]]*Tbl_RentabilidadesAjustadas[[#This Row],[Beneficio unitario (€)]]</f>
        <v>2861.9999999999995</v>
      </c>
      <c r="J253" s="131">
        <f>Tbl_RentabilidadesAjustadas[[#This Row],[Beneficio unitario (€)]]*Tbl_RentabilidadesAjustadas[[#This Row],[Unidades a exportar]]</f>
        <v>2861.9999999999995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</row>
    <row r="254" spans="1:131" ht="17" x14ac:dyDescent="0.25">
      <c r="A254" s="86" t="s">
        <v>23</v>
      </c>
      <c r="B254" s="86" t="s">
        <v>14</v>
      </c>
      <c r="C254" s="135">
        <v>135.88</v>
      </c>
      <c r="D254" s="135">
        <v>88.32</v>
      </c>
      <c r="E254" s="137">
        <v>50</v>
      </c>
      <c r="F254" s="136">
        <v>50</v>
      </c>
      <c r="G254" s="111">
        <f>Tbl_RentabilidadesAjustadas[[#This Row],[Precio unitario (€)]]-Tbl_RentabilidadesAjustadas[[#This Row],[Coste unitario (€)]]</f>
        <v>47.56</v>
      </c>
      <c r="H254" s="130">
        <v>50</v>
      </c>
      <c r="I254" s="88">
        <f>Tbl_RentabilidadesAjustadas[[#This Row],[Unidades pedidas]]*Tbl_RentabilidadesAjustadas[[#This Row],[Beneficio unitario (€)]]</f>
        <v>2378</v>
      </c>
      <c r="J254" s="131">
        <f>Tbl_RentabilidadesAjustadas[[#This Row],[Beneficio unitario (€)]]*Tbl_RentabilidadesAjustadas[[#This Row],[Unidades a exportar]]</f>
        <v>2378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</row>
    <row r="255" spans="1:131" ht="17" x14ac:dyDescent="0.25">
      <c r="A255" s="8" t="s">
        <v>23</v>
      </c>
      <c r="B255" s="8" t="s">
        <v>21</v>
      </c>
      <c r="C255" s="135">
        <v>219.55</v>
      </c>
      <c r="D255" s="135">
        <v>142.71</v>
      </c>
      <c r="E255" s="137">
        <v>50</v>
      </c>
      <c r="F255" s="136">
        <v>45</v>
      </c>
      <c r="G255" s="88">
        <f>Tbl_RentabilidadesAjustadas[[#This Row],[Precio unitario (€)]]-Tbl_RentabilidadesAjustadas[[#This Row],[Coste unitario (€)]]</f>
        <v>76.84</v>
      </c>
      <c r="H255" s="130">
        <v>50</v>
      </c>
      <c r="I255" s="88">
        <f>Tbl_RentabilidadesAjustadas[[#This Row],[Unidades pedidas]]*Tbl_RentabilidadesAjustadas[[#This Row],[Beneficio unitario (€)]]</f>
        <v>3842</v>
      </c>
      <c r="J255" s="131">
        <f>Tbl_RentabilidadesAjustadas[[#This Row],[Beneficio unitario (€)]]*Tbl_RentabilidadesAjustadas[[#This Row],[Unidades a exportar]]</f>
        <v>3842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</row>
    <row r="256" spans="1:131" ht="17" x14ac:dyDescent="0.25">
      <c r="A256" s="86" t="s">
        <v>23</v>
      </c>
      <c r="B256" s="86" t="s">
        <v>11</v>
      </c>
      <c r="C256" s="135">
        <v>135.51</v>
      </c>
      <c r="D256" s="135">
        <v>88.08</v>
      </c>
      <c r="E256" s="137">
        <v>45</v>
      </c>
      <c r="F256" s="136">
        <v>135</v>
      </c>
      <c r="G256" s="111">
        <f>Tbl_RentabilidadesAjustadas[[#This Row],[Precio unitario (€)]]-Tbl_RentabilidadesAjustadas[[#This Row],[Coste unitario (€)]]</f>
        <v>47.429999999999993</v>
      </c>
      <c r="H256" s="130">
        <v>45</v>
      </c>
      <c r="I256" s="88">
        <f>Tbl_RentabilidadesAjustadas[[#This Row],[Unidades pedidas]]*Tbl_RentabilidadesAjustadas[[#This Row],[Beneficio unitario (€)]]</f>
        <v>2134.3499999999995</v>
      </c>
      <c r="J256" s="131">
        <f>Tbl_RentabilidadesAjustadas[[#This Row],[Beneficio unitario (€)]]*Tbl_RentabilidadesAjustadas[[#This Row],[Unidades a exportar]]</f>
        <v>2134.3499999999995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</row>
    <row r="257" spans="1:131" ht="1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</row>
    <row r="258" spans="1:131" ht="1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</row>
    <row r="259" spans="1:131" ht="1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</row>
    <row r="260" spans="1:131" ht="1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</row>
    <row r="261" spans="1:131" ht="1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</row>
    <row r="262" spans="1:131" ht="1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</row>
    <row r="263" spans="1:131" ht="1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</row>
    <row r="264" spans="1:131" ht="1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</row>
    <row r="265" spans="1:131" ht="1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</row>
    <row r="266" spans="1:131" ht="1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</row>
    <row r="267" spans="1:131" ht="1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</row>
    <row r="268" spans="1:131" ht="1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</row>
    <row r="269" spans="1:131" ht="1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</row>
    <row r="270" spans="1:131" ht="1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</row>
    <row r="271" spans="1:131" ht="1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</row>
    <row r="272" spans="1:131" ht="1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</row>
    <row r="273" spans="1:131" ht="1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</row>
    <row r="274" spans="1:131" ht="1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</row>
    <row r="275" spans="1:131" ht="1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</row>
    <row r="276" spans="1:131" ht="1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</row>
    <row r="277" spans="1:131" ht="1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</row>
    <row r="278" spans="1:131" ht="1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</row>
    <row r="279" spans="1:131" ht="1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</row>
    <row r="280" spans="1:131" ht="1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</row>
    <row r="281" spans="1:131" ht="1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</row>
    <row r="282" spans="1:131" ht="1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</row>
    <row r="283" spans="1:131" ht="1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</row>
    <row r="284" spans="1:131" ht="1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</row>
    <row r="285" spans="1:131" ht="1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</row>
    <row r="286" spans="1:131" ht="1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</row>
    <row r="287" spans="1:131" ht="1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</row>
    <row r="288" spans="1:131" ht="1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</row>
    <row r="289" spans="1:131" ht="1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</row>
    <row r="290" spans="1:131" ht="1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</row>
    <row r="291" spans="1:131" ht="1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</row>
    <row r="292" spans="1:131" ht="1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</row>
    <row r="293" spans="1:131" ht="1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</row>
    <row r="294" spans="1:131" ht="1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</row>
    <row r="295" spans="1:131" ht="1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</row>
    <row r="296" spans="1:131" ht="1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</row>
    <row r="297" spans="1:131" ht="1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</row>
    <row r="298" spans="1:131" ht="1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</row>
    <row r="299" spans="1:131" ht="1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</row>
    <row r="300" spans="1:131" ht="1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</row>
    <row r="301" spans="1:131" ht="1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</row>
    <row r="302" spans="1:131" ht="1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</row>
    <row r="303" spans="1:131" ht="1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</row>
    <row r="304" spans="1:131" ht="1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</row>
    <row r="305" spans="1:131" ht="1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</row>
    <row r="306" spans="1:131" ht="1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</row>
    <row r="307" spans="1:131" ht="1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</row>
    <row r="308" spans="1:131" ht="1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</row>
    <row r="309" spans="1:131" ht="1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</row>
    <row r="310" spans="1:131" ht="1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</row>
    <row r="311" spans="1:131" ht="1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</row>
    <row r="312" spans="1:131" ht="1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</row>
    <row r="313" spans="1:131" ht="1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</row>
    <row r="314" spans="1:131" ht="1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</row>
    <row r="315" spans="1:131" ht="1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</row>
    <row r="316" spans="1:131" ht="1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</row>
    <row r="317" spans="1:131" ht="1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</row>
    <row r="318" spans="1:131" ht="1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</row>
    <row r="319" spans="1:131" ht="1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</row>
    <row r="320" spans="1:131" ht="1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</row>
    <row r="321" spans="1:131" ht="1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</row>
    <row r="322" spans="1:131" ht="1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</row>
    <row r="323" spans="1:131" ht="1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</row>
    <row r="324" spans="1:131" ht="1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</row>
    <row r="325" spans="1:131" ht="1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</row>
    <row r="326" spans="1:131" ht="1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</row>
    <row r="327" spans="1:131" ht="1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</row>
    <row r="328" spans="1:131" ht="1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</row>
    <row r="329" spans="1:131" ht="1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</row>
    <row r="330" spans="1:131" ht="1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</row>
    <row r="331" spans="1:131" ht="1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</row>
    <row r="332" spans="1:131" ht="1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</row>
    <row r="333" spans="1:131" ht="1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</row>
    <row r="334" spans="1:131" ht="1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</row>
    <row r="335" spans="1:131" ht="1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</row>
    <row r="336" spans="1:131" ht="1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</row>
    <row r="337" spans="1:131" ht="1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</row>
    <row r="338" spans="1:131" ht="1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</row>
    <row r="339" spans="1:131" ht="1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</row>
    <row r="340" spans="1:131" ht="1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</row>
    <row r="341" spans="1:131" ht="1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</row>
    <row r="342" spans="1:131" ht="1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</row>
    <row r="343" spans="1:131" ht="1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</row>
    <row r="344" spans="1:131" ht="1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</row>
    <row r="345" spans="1:131" ht="1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</row>
    <row r="346" spans="1:131" ht="1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</row>
    <row r="347" spans="1:131" ht="1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</row>
    <row r="348" spans="1:131" ht="1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</row>
    <row r="349" spans="1:131" ht="1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</row>
    <row r="350" spans="1:131" ht="1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</row>
    <row r="351" spans="1:131" ht="1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</row>
    <row r="352" spans="1:131" ht="1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</row>
    <row r="353" spans="1:131" ht="1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</row>
    <row r="354" spans="1:131" ht="1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</row>
    <row r="355" spans="1:131" ht="1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</row>
    <row r="356" spans="1:131" ht="1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</row>
    <row r="357" spans="1:131" ht="1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</row>
    <row r="358" spans="1:131" ht="1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</row>
    <row r="359" spans="1:131" ht="1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</row>
    <row r="360" spans="1:131" ht="1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</row>
    <row r="361" spans="1:131" ht="1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</row>
    <row r="362" spans="1:131" ht="1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</row>
    <row r="363" spans="1:131" ht="1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</row>
    <row r="364" spans="1:131" ht="1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</row>
    <row r="365" spans="1:131" ht="1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</row>
    <row r="366" spans="1:131" ht="1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</row>
    <row r="367" spans="1:131" ht="1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</row>
    <row r="368" spans="1:131" ht="1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</row>
    <row r="369" spans="1:131" ht="1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</row>
    <row r="370" spans="1:131" ht="1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</row>
    <row r="371" spans="1:131" ht="1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</row>
    <row r="372" spans="1:131" ht="1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</row>
    <row r="373" spans="1:131" ht="1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</row>
    <row r="374" spans="1:131" ht="1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</row>
    <row r="375" spans="1:131" ht="1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</row>
    <row r="376" spans="1:131" ht="1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</row>
    <row r="377" spans="1:131" ht="1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</row>
    <row r="378" spans="1:131" ht="1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</row>
    <row r="379" spans="1:131" ht="1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</row>
    <row r="380" spans="1:131" ht="1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</row>
    <row r="381" spans="1:131" ht="1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</row>
    <row r="382" spans="1:131" ht="1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</row>
    <row r="383" spans="1:131" ht="1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</row>
    <row r="384" spans="1:131" ht="1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</row>
    <row r="385" spans="1:131" ht="1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</row>
    <row r="386" spans="1:131" ht="1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</row>
    <row r="387" spans="1:131" ht="1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</row>
    <row r="388" spans="1:131" ht="1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</row>
    <row r="389" spans="1:131" ht="1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</row>
    <row r="390" spans="1:131" ht="1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</row>
    <row r="391" spans="1:131" ht="1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</row>
    <row r="392" spans="1:131" ht="1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</row>
    <row r="393" spans="1:131" ht="1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</row>
    <row r="394" spans="1:131" ht="1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</row>
    <row r="395" spans="1:131" ht="1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</row>
    <row r="396" spans="1:131" ht="1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</row>
    <row r="397" spans="1:131" ht="1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</row>
    <row r="398" spans="1:131" ht="1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</row>
    <row r="399" spans="1:131" ht="1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</row>
    <row r="400" spans="1:131" ht="1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</row>
    <row r="401" spans="1:131" ht="1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</row>
    <row r="402" spans="1:131" ht="1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</row>
    <row r="403" spans="1:131" ht="1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</row>
    <row r="404" spans="1:131" ht="1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</row>
    <row r="405" spans="1:131" ht="1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</row>
    <row r="406" spans="1:131" ht="1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</row>
    <row r="407" spans="1:131" ht="1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</row>
    <row r="408" spans="1:131" ht="1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</row>
    <row r="409" spans="1:131" ht="1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</row>
    <row r="410" spans="1:131" ht="1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</row>
    <row r="411" spans="1:131" ht="1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</row>
    <row r="412" spans="1:131" ht="1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</row>
    <row r="413" spans="1:131" ht="1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</row>
    <row r="414" spans="1:131" ht="1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</row>
    <row r="415" spans="1:131" ht="1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</row>
    <row r="416" spans="1:131" ht="1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</row>
    <row r="417" spans="1:131" ht="1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</row>
    <row r="418" spans="1:131" ht="1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</row>
    <row r="419" spans="1:131" ht="1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</row>
    <row r="420" spans="1:131" ht="1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</row>
    <row r="421" spans="1:131" ht="1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</row>
    <row r="422" spans="1:131" ht="1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</row>
    <row r="423" spans="1:131" ht="1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</row>
    <row r="424" spans="1:131" ht="1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</row>
    <row r="425" spans="1:131" ht="1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</row>
    <row r="426" spans="1:131" ht="1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</row>
    <row r="427" spans="1:131" ht="1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</row>
    <row r="428" spans="1:131" ht="1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</row>
    <row r="429" spans="1:131" ht="1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</row>
    <row r="430" spans="1:131" ht="1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</row>
    <row r="431" spans="1:131" ht="1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</row>
    <row r="432" spans="1:131" ht="1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</row>
    <row r="433" spans="1:131" ht="1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</row>
    <row r="434" spans="1:131" ht="1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</row>
    <row r="435" spans="1:131" ht="1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</row>
    <row r="436" spans="1:131" ht="1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</row>
    <row r="437" spans="1:131" ht="1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</row>
    <row r="438" spans="1:131" ht="1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</row>
    <row r="439" spans="1:131" ht="1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</row>
    <row r="440" spans="1:131" ht="1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</row>
    <row r="441" spans="1:131" ht="1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</row>
    <row r="442" spans="1:131" ht="1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</row>
    <row r="443" spans="1:131" ht="1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</row>
    <row r="444" spans="1:131" ht="1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</row>
    <row r="445" spans="1:131" ht="1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</row>
    <row r="446" spans="1:131" ht="1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</row>
    <row r="447" spans="1:131" ht="1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</row>
    <row r="448" spans="1:131" ht="1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</row>
    <row r="449" spans="1:131" ht="1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</row>
    <row r="450" spans="1:131" ht="1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</row>
    <row r="451" spans="1:131" ht="1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</row>
    <row r="452" spans="1:131" ht="1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</row>
    <row r="453" spans="1:131" ht="1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</row>
    <row r="454" spans="1:131" ht="1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</row>
    <row r="455" spans="1:131" ht="1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</row>
    <row r="456" spans="1:131" ht="1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</row>
    <row r="457" spans="1:131" ht="1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</row>
    <row r="458" spans="1:131" ht="1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</row>
    <row r="459" spans="1:131" ht="1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</row>
    <row r="460" spans="1:131" ht="1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</row>
    <row r="461" spans="1:131" ht="1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</row>
    <row r="462" spans="1:131" ht="1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</row>
    <row r="463" spans="1:131" ht="1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</row>
    <row r="464" spans="1:131" ht="1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</row>
    <row r="465" spans="1:131" ht="1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</row>
    <row r="466" spans="1:131" ht="1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</row>
    <row r="467" spans="1:131" ht="1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</row>
    <row r="468" spans="1:131" ht="1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</row>
    <row r="469" spans="1:131" ht="1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</row>
    <row r="470" spans="1:131" ht="1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</row>
    <row r="471" spans="1:131" ht="1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</row>
    <row r="472" spans="1:131" ht="1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</row>
    <row r="473" spans="1:131" ht="1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</row>
    <row r="474" spans="1:131" ht="1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</row>
    <row r="475" spans="1:131" ht="1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</row>
    <row r="476" spans="1:131" ht="1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</row>
    <row r="477" spans="1:131" ht="1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</row>
    <row r="478" spans="1:131" ht="1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</row>
    <row r="479" spans="1:131" ht="1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</row>
    <row r="480" spans="1:131" ht="1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</row>
    <row r="481" spans="1:131" ht="1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</row>
    <row r="482" spans="1:131" ht="1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</row>
    <row r="483" spans="1:131" ht="1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</row>
    <row r="484" spans="1:131" ht="1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</row>
    <row r="485" spans="1:131" ht="1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</row>
    <row r="486" spans="1:131" ht="1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</row>
    <row r="487" spans="1:131" ht="1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</row>
    <row r="488" spans="1:131" ht="1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</row>
    <row r="489" spans="1:131" ht="1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</row>
    <row r="490" spans="1:131" ht="1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</row>
    <row r="491" spans="1:131" ht="1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</row>
    <row r="492" spans="1:131" ht="1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</row>
    <row r="493" spans="1:131" ht="1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</row>
    <row r="494" spans="1:131" ht="1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</row>
    <row r="495" spans="1:131" ht="1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</row>
    <row r="496" spans="1:131" ht="1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</row>
    <row r="497" spans="1:131" ht="1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</row>
    <row r="498" spans="1:131" ht="1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</row>
    <row r="499" spans="1:131" ht="1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</row>
    <row r="500" spans="1:131" ht="1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</row>
    <row r="501" spans="1:131" ht="1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</row>
    <row r="502" spans="1:131" ht="1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</row>
    <row r="503" spans="1:131" ht="1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</row>
    <row r="504" spans="1:131" ht="1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</row>
    <row r="505" spans="1:131" ht="1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</row>
    <row r="506" spans="1:131" ht="1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</row>
    <row r="507" spans="1:131" ht="1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</row>
    <row r="508" spans="1:131" ht="1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</row>
    <row r="509" spans="1:131" ht="1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</row>
    <row r="510" spans="1:131" ht="1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</row>
    <row r="511" spans="1:131" ht="1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</row>
    <row r="512" spans="1:131" ht="1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</row>
    <row r="513" spans="1:131" ht="1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</row>
    <row r="514" spans="1:131" ht="1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</row>
    <row r="515" spans="1:131" ht="1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</row>
    <row r="516" spans="1:131" ht="1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</row>
    <row r="517" spans="1:131" ht="1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</row>
    <row r="518" spans="1:131" ht="1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</row>
    <row r="519" spans="1:131" ht="1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</row>
    <row r="520" spans="1:131" ht="1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</row>
    <row r="521" spans="1:131" ht="1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</row>
    <row r="522" spans="1:131" ht="1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</row>
    <row r="523" spans="1:131" ht="1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</row>
    <row r="524" spans="1:131" ht="1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</row>
    <row r="525" spans="1:131" ht="1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</row>
    <row r="526" spans="1:131" ht="1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</row>
    <row r="527" spans="1:131" ht="1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</row>
    <row r="528" spans="1:131" ht="1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</row>
    <row r="529" spans="1:131" ht="1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</row>
    <row r="530" spans="1:131" ht="1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</row>
    <row r="531" spans="1:131" ht="1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</row>
    <row r="532" spans="1:131" ht="1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</row>
    <row r="533" spans="1:131" ht="1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</row>
    <row r="534" spans="1:131" ht="1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</row>
    <row r="535" spans="1:131" ht="1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</row>
    <row r="536" spans="1:131" ht="1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</row>
    <row r="537" spans="1:131" ht="1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</row>
    <row r="538" spans="1:131" ht="1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</row>
    <row r="539" spans="1:131" ht="1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</row>
    <row r="540" spans="1:131" ht="1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</row>
    <row r="541" spans="1:131" ht="1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</row>
    <row r="542" spans="1:131" ht="1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</row>
    <row r="543" spans="1:131" ht="1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</row>
    <row r="544" spans="1:131" ht="1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</row>
    <row r="545" spans="1:131" ht="1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</row>
    <row r="546" spans="1:131" ht="1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</row>
    <row r="547" spans="1:131" ht="1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</row>
    <row r="548" spans="1:131" ht="1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</row>
    <row r="549" spans="1:131" ht="1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</row>
    <row r="550" spans="1:131" ht="1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</row>
    <row r="551" spans="1:131" ht="1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</row>
    <row r="552" spans="1:131" ht="1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</row>
    <row r="553" spans="1:131" ht="1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</row>
    <row r="554" spans="1:131" ht="1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</row>
    <row r="555" spans="1:131" ht="1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</row>
    <row r="556" spans="1:131" ht="1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</row>
    <row r="557" spans="1:131" ht="1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</row>
    <row r="558" spans="1:131" ht="1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</row>
    <row r="559" spans="1:131" ht="1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</row>
    <row r="560" spans="1:131" ht="1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</row>
    <row r="561" spans="1:131" ht="1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</row>
    <row r="562" spans="1:131" ht="1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</row>
    <row r="563" spans="1:131" ht="1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</row>
    <row r="564" spans="1:131" ht="1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</row>
    <row r="565" spans="1:131" ht="1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</row>
    <row r="566" spans="1:131" ht="1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</row>
    <row r="567" spans="1:131" ht="1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</row>
    <row r="568" spans="1:131" ht="1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</row>
    <row r="569" spans="1:131" ht="1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</row>
    <row r="570" spans="1:131" ht="1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</row>
    <row r="571" spans="1:131" ht="1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</row>
    <row r="572" spans="1:131" ht="1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</row>
    <row r="573" spans="1:131" ht="1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</row>
    <row r="574" spans="1:131" ht="1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</row>
    <row r="575" spans="1:131" ht="1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</row>
    <row r="576" spans="1:131" ht="1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</row>
    <row r="577" spans="1:131" ht="1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</row>
    <row r="578" spans="1:131" ht="1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</row>
    <row r="579" spans="1:131" ht="1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</row>
    <row r="580" spans="1:131" ht="1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</row>
    <row r="581" spans="1:131" ht="1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</row>
    <row r="582" spans="1:131" ht="1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</row>
    <row r="583" spans="1:131" ht="1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</row>
    <row r="584" spans="1:131" ht="1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</row>
    <row r="585" spans="1:131" ht="1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</row>
    <row r="586" spans="1:131" ht="1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</row>
    <row r="587" spans="1:131" ht="1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</row>
    <row r="588" spans="1:131" ht="1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</row>
    <row r="589" spans="1:131" ht="1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</row>
    <row r="590" spans="1:131" ht="1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</row>
    <row r="591" spans="1:131" ht="1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</row>
    <row r="592" spans="1:131" ht="1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</row>
    <row r="593" spans="1:131" ht="1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</row>
    <row r="594" spans="1:131" ht="1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</row>
    <row r="595" spans="1:131" ht="1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</row>
    <row r="596" spans="1:131" ht="1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</row>
    <row r="597" spans="1:131" ht="1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</row>
    <row r="598" spans="1:131" ht="1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</row>
    <row r="599" spans="1:131" ht="1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</row>
    <row r="600" spans="1:131" ht="1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</row>
    <row r="601" spans="1:131" ht="1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</row>
    <row r="602" spans="1:131" ht="1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</row>
    <row r="603" spans="1:131" ht="1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</row>
    <row r="604" spans="1:131" ht="1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</row>
    <row r="605" spans="1:131" ht="1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</row>
    <row r="606" spans="1:131" ht="1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</row>
    <row r="607" spans="1:131" ht="1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</row>
    <row r="608" spans="1:131" ht="1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</row>
    <row r="609" spans="1:131" ht="1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</row>
    <row r="610" spans="1:131" ht="1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</row>
    <row r="611" spans="1:131" ht="1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</row>
    <row r="612" spans="1:131" ht="1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</row>
    <row r="613" spans="1:131" ht="1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</row>
    <row r="614" spans="1:131" ht="1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</row>
    <row r="615" spans="1:131" ht="1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</row>
    <row r="616" spans="1:131" ht="1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</row>
    <row r="617" spans="1:131" ht="1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</row>
    <row r="618" spans="1:131" ht="1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</row>
    <row r="619" spans="1:131" ht="1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</row>
    <row r="620" spans="1:131" ht="1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</row>
    <row r="621" spans="1:131" ht="1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</row>
    <row r="622" spans="1:131" ht="1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</row>
    <row r="623" spans="1:131" ht="1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</row>
    <row r="624" spans="1:131" ht="1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</row>
    <row r="625" spans="1:131" ht="1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</row>
    <row r="626" spans="1:131" ht="1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</row>
    <row r="627" spans="1:131" ht="1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</row>
    <row r="628" spans="1:131" ht="1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</row>
    <row r="629" spans="1:131" ht="1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</row>
    <row r="630" spans="1:131" ht="1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</row>
    <row r="631" spans="1:131" ht="1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</row>
    <row r="632" spans="1:131" ht="1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</row>
    <row r="633" spans="1:131" ht="1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</row>
    <row r="634" spans="1:131" ht="1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</row>
    <row r="635" spans="1:131" ht="1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</row>
    <row r="636" spans="1:131" ht="1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</row>
    <row r="637" spans="1:131" ht="1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</row>
    <row r="638" spans="1:131" ht="1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</row>
    <row r="639" spans="1:131" ht="1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</row>
    <row r="640" spans="1:131" ht="1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</row>
    <row r="641" spans="1:131" ht="1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</row>
    <row r="642" spans="1:131" ht="1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</row>
    <row r="643" spans="1:131" ht="1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</row>
    <row r="644" spans="1:131" ht="1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</row>
    <row r="645" spans="1:131" ht="1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</row>
    <row r="646" spans="1:131" ht="1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</row>
    <row r="647" spans="1:131" ht="1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</row>
    <row r="648" spans="1:131" ht="1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</row>
    <row r="649" spans="1:131" ht="1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</row>
    <row r="650" spans="1:131" ht="1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</row>
    <row r="651" spans="1:131" ht="1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</row>
    <row r="652" spans="1:131" ht="1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</row>
    <row r="653" spans="1:131" ht="1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</row>
    <row r="654" spans="1:131" ht="1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</row>
    <row r="655" spans="1:131" ht="1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</row>
    <row r="656" spans="1:131" ht="1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</row>
    <row r="657" spans="1:131" ht="1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</row>
    <row r="658" spans="1:131" ht="1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</row>
    <row r="659" spans="1:131" ht="1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</row>
    <row r="660" spans="1:131" ht="1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</row>
    <row r="661" spans="1:131" ht="1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</row>
    <row r="662" spans="1:131" ht="1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</row>
    <row r="663" spans="1:131" ht="1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</row>
    <row r="664" spans="1:131" ht="1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</row>
    <row r="665" spans="1:131" ht="1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</row>
    <row r="666" spans="1:131" ht="1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</row>
    <row r="667" spans="1:131" ht="1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</row>
    <row r="668" spans="1:131" ht="1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</row>
    <row r="669" spans="1:131" ht="1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</row>
    <row r="670" spans="1:131" ht="1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</row>
    <row r="671" spans="1:131" ht="1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</row>
    <row r="672" spans="1:131" ht="1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</row>
    <row r="673" spans="1:131" ht="1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</row>
    <row r="674" spans="1:131" ht="1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</row>
    <row r="675" spans="1:131" ht="1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</row>
    <row r="676" spans="1:131" ht="1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</row>
    <row r="677" spans="1:131" ht="1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</row>
    <row r="678" spans="1:131" ht="1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</row>
    <row r="679" spans="1:131" ht="1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</row>
    <row r="680" spans="1:131" ht="1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</row>
    <row r="681" spans="1:131" ht="1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</row>
    <row r="682" spans="1:131" ht="1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</row>
    <row r="683" spans="1:131" ht="1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</row>
    <row r="684" spans="1:131" ht="1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</row>
    <row r="685" spans="1:131" ht="1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</row>
    <row r="686" spans="1:131" ht="1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</row>
    <row r="687" spans="1:131" ht="1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</row>
    <row r="688" spans="1:131" ht="1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</row>
    <row r="689" spans="1:131" ht="1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</row>
    <row r="690" spans="1:131" ht="1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</row>
    <row r="691" spans="1:131" ht="1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</row>
    <row r="692" spans="1:131" ht="1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</row>
    <row r="693" spans="1:131" ht="1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</row>
    <row r="694" spans="1:131" ht="1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</row>
    <row r="695" spans="1:131" ht="1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</row>
    <row r="696" spans="1:131" ht="1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</row>
    <row r="697" spans="1:131" ht="1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</row>
    <row r="698" spans="1:131" ht="1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</row>
    <row r="699" spans="1:131" ht="1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</row>
    <row r="700" spans="1:131" ht="1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</row>
    <row r="701" spans="1:131" ht="1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</row>
    <row r="702" spans="1:131" ht="1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</row>
    <row r="703" spans="1:131" ht="1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</row>
    <row r="704" spans="1:131" ht="1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</row>
    <row r="705" spans="1:131" ht="1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</row>
    <row r="706" spans="1:131" ht="1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</row>
    <row r="707" spans="1:131" ht="1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</row>
    <row r="708" spans="1:131" ht="1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</row>
    <row r="709" spans="1:131" ht="1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</row>
    <row r="710" spans="1:131" ht="1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</row>
    <row r="711" spans="1:131" ht="1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</row>
    <row r="712" spans="1:131" ht="1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</row>
    <row r="713" spans="1:131" ht="1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</row>
    <row r="714" spans="1:131" ht="1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</row>
    <row r="715" spans="1:131" ht="1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</row>
    <row r="716" spans="1:131" ht="1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</row>
    <row r="717" spans="1:131" ht="1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</row>
    <row r="718" spans="1:131" ht="1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</row>
    <row r="719" spans="1:131" ht="1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</row>
    <row r="720" spans="1:131" ht="1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</row>
    <row r="721" spans="1:131" ht="1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</row>
    <row r="722" spans="1:131" ht="1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</row>
    <row r="723" spans="1:131" ht="1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</row>
    <row r="724" spans="1:131" ht="1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</row>
    <row r="725" spans="1:131" ht="1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</row>
    <row r="726" spans="1:131" ht="1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</row>
    <row r="727" spans="1:131" ht="1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</row>
    <row r="728" spans="1:131" ht="1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</row>
    <row r="729" spans="1:131" ht="1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</row>
    <row r="730" spans="1:131" ht="1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</row>
    <row r="731" spans="1:131" ht="1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</row>
    <row r="732" spans="1:131" ht="1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</row>
    <row r="733" spans="1:131" ht="1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</row>
    <row r="734" spans="1:131" ht="1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</row>
    <row r="735" spans="1:131" ht="1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</row>
    <row r="736" spans="1:131" ht="1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</row>
    <row r="737" spans="1:131" ht="1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</row>
    <row r="738" spans="1:131" ht="1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</row>
    <row r="739" spans="1:131" ht="1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</row>
    <row r="740" spans="1:131" ht="1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</row>
    <row r="741" spans="1:131" ht="1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</row>
    <row r="742" spans="1:131" ht="1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</row>
    <row r="743" spans="1:131" ht="1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</row>
    <row r="744" spans="1:131" ht="1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</row>
    <row r="745" spans="1:131" ht="1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</row>
    <row r="746" spans="1:131" ht="1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</row>
    <row r="747" spans="1:131" ht="1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</row>
    <row r="748" spans="1:131" ht="1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</row>
    <row r="749" spans="1:131" ht="1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</row>
    <row r="750" spans="1:131" ht="1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</row>
    <row r="751" spans="1:131" ht="1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</row>
    <row r="752" spans="1:131" ht="1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</row>
    <row r="753" spans="1:131" ht="1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</row>
    <row r="754" spans="1:131" ht="1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</row>
    <row r="755" spans="1:131" ht="1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</row>
    <row r="756" spans="1:131" ht="1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</row>
    <row r="757" spans="1:131" ht="1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</row>
    <row r="758" spans="1:131" ht="1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</row>
    <row r="759" spans="1:131" ht="1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</row>
    <row r="760" spans="1:131" ht="1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</row>
    <row r="761" spans="1:131" ht="1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</row>
    <row r="762" spans="1:131" ht="1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</row>
    <row r="763" spans="1:131" ht="1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</row>
    <row r="764" spans="1:131" ht="1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</row>
    <row r="765" spans="1:131" ht="1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</row>
    <row r="766" spans="1:131" ht="1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</row>
    <row r="767" spans="1:131" ht="1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</row>
    <row r="768" spans="1:131" ht="1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</row>
    <row r="769" spans="1:131" ht="1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</row>
    <row r="770" spans="1:131" ht="1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</row>
    <row r="771" spans="1:131" ht="1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</row>
    <row r="772" spans="1:131" ht="1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</row>
    <row r="773" spans="1:131" ht="1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</row>
    <row r="774" spans="1:131" ht="1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</row>
    <row r="775" spans="1:131" ht="1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</row>
    <row r="776" spans="1:131" ht="1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</row>
    <row r="777" spans="1:131" ht="1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</row>
    <row r="778" spans="1:131" ht="1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</row>
    <row r="779" spans="1:131" ht="1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</row>
    <row r="780" spans="1:131" ht="1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</row>
    <row r="781" spans="1:131" ht="1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</row>
    <row r="782" spans="1:131" ht="1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</row>
    <row r="783" spans="1:131" ht="1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</row>
    <row r="785" spans="1:131" ht="1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</row>
    <row r="786" spans="1:131" ht="1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</row>
    <row r="787" spans="1:131" ht="1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</row>
    <row r="788" spans="1:131" ht="1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</row>
    <row r="789" spans="1:131" ht="1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</row>
    <row r="790" spans="1:131" ht="1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</row>
    <row r="791" spans="1:131" ht="1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</row>
    <row r="792" spans="1:131" ht="1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</row>
    <row r="793" spans="1:131" ht="1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</row>
    <row r="794" spans="1:131" ht="1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</row>
    <row r="795" spans="1:131" ht="1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</row>
    <row r="796" spans="1:131" ht="1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</row>
    <row r="797" spans="1:131" ht="1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</row>
    <row r="798" spans="1:131" ht="1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</row>
    <row r="799" spans="1:131" ht="1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</row>
    <row r="800" spans="1:131" ht="1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</row>
    <row r="801" spans="1:131" ht="1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</row>
    <row r="802" spans="1:131" ht="1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</row>
    <row r="803" spans="1:131" ht="1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</row>
    <row r="804" spans="1:131" ht="1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</row>
    <row r="805" spans="1:131" ht="1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</row>
    <row r="806" spans="1:131" ht="1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</row>
    <row r="807" spans="1:131" ht="1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</row>
    <row r="808" spans="1:131" ht="1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</row>
    <row r="809" spans="1:131" ht="1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</row>
    <row r="810" spans="1:131" ht="1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</row>
    <row r="811" spans="1:131" ht="1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</row>
    <row r="812" spans="1:131" ht="1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</row>
    <row r="813" spans="1:131" ht="1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</row>
    <row r="814" spans="1:131" ht="1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</row>
    <row r="815" spans="1:131" ht="1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</row>
    <row r="816" spans="1:131" ht="1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</row>
    <row r="817" spans="1:131" ht="1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</row>
    <row r="818" spans="1:131" ht="1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</row>
    <row r="819" spans="1:131" ht="1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</row>
    <row r="820" spans="1:131" ht="1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</row>
    <row r="821" spans="1:131" ht="1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</row>
    <row r="822" spans="1:131" ht="1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</row>
    <row r="823" spans="1:131" ht="1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</row>
    <row r="824" spans="1:131" ht="1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</row>
    <row r="825" spans="1:131" ht="1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</row>
    <row r="826" spans="1:131" ht="1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</row>
    <row r="827" spans="1:131" ht="1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</row>
    <row r="828" spans="1:131" ht="1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</row>
    <row r="829" spans="1:131" ht="1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</row>
    <row r="830" spans="1:131" ht="1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</row>
    <row r="831" spans="1:131" ht="1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</row>
    <row r="832" spans="1:131" ht="1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</row>
    <row r="833" spans="1:131" ht="1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</row>
    <row r="834" spans="1:131" ht="1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</row>
    <row r="835" spans="1:131" ht="1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</row>
    <row r="836" spans="1:131" ht="1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</row>
    <row r="837" spans="1:131" ht="1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</row>
    <row r="838" spans="1:131" ht="1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</row>
    <row r="839" spans="1:131" ht="1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</row>
    <row r="840" spans="1:131" ht="1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</row>
    <row r="841" spans="1:131" ht="1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</row>
    <row r="842" spans="1:131" ht="1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</row>
    <row r="843" spans="1:131" ht="1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</row>
    <row r="844" spans="1:131" ht="1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</row>
    <row r="845" spans="1:131" ht="1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</row>
    <row r="846" spans="1:131" ht="1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</row>
    <row r="847" spans="1:131" ht="1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</row>
    <row r="848" spans="1:131" ht="1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</row>
    <row r="849" spans="1:131" ht="1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</row>
    <row r="850" spans="1:131" ht="1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</row>
    <row r="851" spans="1:131" ht="1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</row>
    <row r="852" spans="1:131" ht="1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</row>
    <row r="853" spans="1:131" ht="1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</row>
    <row r="854" spans="1:131" ht="1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</row>
    <row r="855" spans="1:131" ht="1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</row>
    <row r="856" spans="1:131" ht="1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</row>
    <row r="857" spans="1:131" ht="1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</row>
    <row r="858" spans="1:131" ht="1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</row>
    <row r="859" spans="1:131" ht="1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</row>
    <row r="860" spans="1:131" ht="1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</row>
    <row r="861" spans="1:131" ht="1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</row>
    <row r="862" spans="1:131" ht="1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</row>
    <row r="863" spans="1:131" ht="1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</row>
    <row r="864" spans="1:131" ht="1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</row>
    <row r="865" spans="1:131" ht="1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</row>
    <row r="866" spans="1:131" ht="1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</row>
    <row r="867" spans="1:131" ht="1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</row>
    <row r="868" spans="1:131" ht="1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</row>
    <row r="869" spans="1:131" ht="1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</row>
    <row r="870" spans="1:131" ht="1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</row>
    <row r="871" spans="1:131" ht="1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</row>
    <row r="872" spans="1:131" ht="1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</row>
    <row r="873" spans="1:131" ht="1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</row>
    <row r="874" spans="1:131" ht="1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</row>
    <row r="875" spans="1:131" ht="1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</row>
    <row r="876" spans="1:131" ht="1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</row>
    <row r="877" spans="1:131" ht="1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</row>
    <row r="878" spans="1:131" ht="1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</row>
    <row r="879" spans="1:131" ht="1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</row>
    <row r="880" spans="1:131" ht="1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</row>
    <row r="881" spans="1:131" ht="1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</row>
    <row r="882" spans="1:131" ht="1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</row>
    <row r="883" spans="1:131" ht="1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</row>
    <row r="884" spans="1:131" ht="1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</row>
    <row r="885" spans="1:131" ht="1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</row>
    <row r="886" spans="1:131" ht="1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</row>
    <row r="887" spans="1:131" ht="1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</row>
    <row r="888" spans="1:131" ht="1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</row>
    <row r="889" spans="1:131" ht="1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</row>
    <row r="890" spans="1:131" ht="1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</row>
    <row r="891" spans="1:131" ht="1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</row>
    <row r="892" spans="1:131" ht="1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</row>
    <row r="893" spans="1:131" ht="1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</row>
    <row r="894" spans="1:131" ht="1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</row>
    <row r="895" spans="1:131" ht="1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</row>
    <row r="896" spans="1:131" ht="1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</row>
    <row r="897" spans="1:131" ht="1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</row>
    <row r="898" spans="1:131" ht="1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</row>
    <row r="899" spans="1:131" ht="1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</row>
    <row r="900" spans="1:131" ht="1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</row>
    <row r="901" spans="1:131" ht="1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</row>
    <row r="902" spans="1:131" ht="1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</row>
    <row r="903" spans="1:131" ht="1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</row>
    <row r="904" spans="1:131" ht="1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</row>
    <row r="905" spans="1:131" ht="1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</row>
    <row r="906" spans="1:131" ht="1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</row>
    <row r="907" spans="1:131" ht="1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</row>
    <row r="908" spans="1:131" ht="1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</row>
    <row r="909" spans="1:131" ht="1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</row>
    <row r="910" spans="1:131" ht="1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</row>
    <row r="911" spans="1:131" ht="1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</row>
    <row r="912" spans="1:131" ht="1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</row>
    <row r="913" spans="1:131" ht="1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</row>
    <row r="914" spans="1:131" ht="1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</row>
    <row r="915" spans="1:131" ht="1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</row>
    <row r="916" spans="1:131" ht="1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</row>
    <row r="917" spans="1:131" ht="1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</row>
    <row r="918" spans="1:131" ht="1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</row>
    <row r="919" spans="1:131" ht="1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</row>
    <row r="920" spans="1:131" ht="1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</row>
    <row r="921" spans="1:131" ht="1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</row>
    <row r="922" spans="1:131" ht="1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</row>
    <row r="923" spans="1:131" ht="1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</row>
    <row r="924" spans="1:131" ht="1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</row>
    <row r="925" spans="1:131" ht="1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</row>
    <row r="926" spans="1:131" ht="1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</row>
    <row r="927" spans="1:131" ht="1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</row>
    <row r="928" spans="1:131" ht="1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</row>
    <row r="929" spans="1:131" ht="1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</row>
    <row r="930" spans="1:131" ht="1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</row>
    <row r="931" spans="1:131" ht="1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</row>
    <row r="932" spans="1:131" ht="1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</row>
    <row r="933" spans="1:131" ht="1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</row>
    <row r="934" spans="1:131" ht="1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</row>
    <row r="935" spans="1:131" ht="1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</row>
    <row r="936" spans="1:131" ht="1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</row>
    <row r="937" spans="1:131" ht="1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</row>
    <row r="938" spans="1:131" ht="1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</row>
    <row r="939" spans="1:131" ht="1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</row>
    <row r="940" spans="1:131" ht="1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</row>
    <row r="941" spans="1:131" ht="1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</row>
    <row r="942" spans="1:131" ht="1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</row>
    <row r="943" spans="1:131" ht="1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</row>
    <row r="944" spans="1:131" ht="1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</row>
    <row r="945" spans="1:131" ht="1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</row>
    <row r="946" spans="1:131" ht="1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</row>
    <row r="947" spans="1:131" ht="1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</row>
    <row r="948" spans="1:131" ht="1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</row>
    <row r="949" spans="1:131" ht="1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</row>
    <row r="950" spans="1:131" ht="1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</row>
    <row r="951" spans="1:131" ht="1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</row>
    <row r="952" spans="1:131" ht="1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</row>
    <row r="953" spans="1:131" ht="1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</row>
    <row r="954" spans="1:131" ht="1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</row>
    <row r="955" spans="1:131" ht="1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</row>
    <row r="956" spans="1:131" ht="1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</row>
    <row r="957" spans="1:131" ht="1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</row>
    <row r="958" spans="1:131" ht="1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</row>
    <row r="959" spans="1:131" ht="1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</row>
    <row r="960" spans="1:131" ht="1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</row>
    <row r="961" spans="1:131" ht="1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</row>
    <row r="962" spans="1:131" ht="1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</row>
    <row r="963" spans="1:131" ht="1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</row>
    <row r="964" spans="1:131" ht="1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</row>
    <row r="965" spans="1:131" ht="1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</row>
    <row r="966" spans="1:131" ht="1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</row>
    <row r="967" spans="1:131" ht="1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</row>
    <row r="968" spans="1:131" ht="1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</row>
    <row r="969" spans="1:131" ht="1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</row>
    <row r="970" spans="1:131" ht="1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</row>
    <row r="971" spans="1:131" ht="1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</row>
    <row r="972" spans="1:131" ht="1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</row>
    <row r="973" spans="1:131" ht="1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</row>
    <row r="974" spans="1:131" ht="1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</row>
    <row r="975" spans="1:131" ht="1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</row>
    <row r="976" spans="1:131" ht="1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</row>
    <row r="977" spans="1:131" ht="1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</row>
    <row r="978" spans="1:131" ht="1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</row>
    <row r="979" spans="1:131" ht="1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</row>
    <row r="980" spans="1:131" ht="1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</row>
    <row r="981" spans="1:131" ht="1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</row>
    <row r="982" spans="1:131" ht="1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</row>
    <row r="983" spans="1:131" ht="1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</row>
    <row r="984" spans="1:131" ht="1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</row>
    <row r="985" spans="1:131" ht="1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</row>
    <row r="986" spans="1:131" ht="1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</row>
    <row r="987" spans="1:131" ht="1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</row>
    <row r="988" spans="1:131" ht="1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</row>
    <row r="989" spans="1:131" ht="1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</row>
    <row r="990" spans="1:131" ht="1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</row>
    <row r="991" spans="1:131" ht="1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</row>
    <row r="992" spans="1:131" ht="1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</row>
    <row r="993" spans="1:131" ht="1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</row>
    <row r="994" spans="1:131" ht="1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</row>
    <row r="995" spans="1:131" ht="1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</row>
    <row r="996" spans="1:131" ht="1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</row>
    <row r="997" spans="1:131" ht="1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</row>
    <row r="998" spans="1:131" ht="1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</row>
    <row r="999" spans="1:131" ht="1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</row>
    <row r="1000" spans="1:131" ht="1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</row>
    <row r="1001" spans="1:131" ht="1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</row>
    <row r="1002" spans="1:131" ht="1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</row>
    <row r="1003" spans="1:131" ht="1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</row>
    <row r="1004" spans="1:131" ht="1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</row>
    <row r="1005" spans="1:131" ht="1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</row>
    <row r="1006" spans="1:131" ht="1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</row>
    <row r="1007" spans="1:131" ht="1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</row>
    <row r="1008" spans="1:131" ht="1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</row>
    <row r="1009" spans="1:131" ht="1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</row>
    <row r="1010" spans="1:131" ht="1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</row>
    <row r="1011" spans="1:131" ht="1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</row>
    <row r="1012" spans="1:131" ht="1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</row>
    <row r="1013" spans="1:131" ht="1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</row>
    <row r="1014" spans="1:131" ht="1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</row>
    <row r="1015" spans="1:131" ht="1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</row>
    <row r="1016" spans="1:131" ht="1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</row>
    <row r="1017" spans="1:131" ht="1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</row>
    <row r="1018" spans="1:131" ht="1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</row>
    <row r="1019" spans="1:131" ht="1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</row>
    <row r="1020" spans="1:131" ht="1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</row>
    <row r="1021" spans="1:131" ht="1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</row>
    <row r="1022" spans="1:131" ht="1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</row>
    <row r="1023" spans="1:131" ht="1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</row>
    <row r="1024" spans="1:131" ht="1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</row>
    <row r="1025" spans="1:131" ht="1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</row>
    <row r="1026" spans="1:131" ht="1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</row>
    <row r="1027" spans="1:131" ht="1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</row>
    <row r="1028" spans="1:131" ht="1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</row>
    <row r="1029" spans="1:131" ht="1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</row>
    <row r="1030" spans="1:131" ht="1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</row>
    <row r="1031" spans="1:131" ht="1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</row>
    <row r="1032" spans="1:131" ht="1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</row>
    <row r="1033" spans="1:131" ht="1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</row>
    <row r="1034" spans="1:131" ht="1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</row>
    <row r="1035" spans="1:131" ht="1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</row>
    <row r="1036" spans="1:131" ht="1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</row>
    <row r="1037" spans="1:131" ht="1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</row>
    <row r="1038" spans="1:131" ht="1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</row>
    <row r="1039" spans="1:131" ht="1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</row>
    <row r="1040" spans="1:131" ht="1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</row>
    <row r="1041" spans="1:131" ht="1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</row>
    <row r="1042" spans="1:131" ht="1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</row>
    <row r="1043" spans="1:131" ht="1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</row>
    <row r="1044" spans="1:131" ht="1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</row>
    <row r="1045" spans="1:131" ht="1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</row>
    <row r="1046" spans="1:131" ht="1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</row>
    <row r="1047" spans="1:131" ht="1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</row>
    <row r="1048" spans="1:131" ht="1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</row>
    <row r="1049" spans="1:131" ht="1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</row>
    <row r="1050" spans="1:131" ht="1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</row>
    <row r="1051" spans="1:131" ht="1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</row>
    <row r="1052" spans="1:131" ht="1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</row>
    <row r="1053" spans="1:131" ht="1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</row>
    <row r="1054" spans="1:131" ht="1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</row>
    <row r="1055" spans="1:131" ht="1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</row>
    <row r="1056" spans="1:131" ht="1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</row>
    <row r="1057" spans="1:131" ht="1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</row>
    <row r="1058" spans="1:131" ht="1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</row>
    <row r="1059" spans="1:131" ht="1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</row>
    <row r="1060" spans="1:131" ht="1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</row>
    <row r="1061" spans="1:131" ht="1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</row>
    <row r="1062" spans="1:131" ht="1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</row>
    <row r="1063" spans="1:131" ht="1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</row>
    <row r="1064" spans="1:131" ht="1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</row>
    <row r="1065" spans="1:131" ht="1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</row>
    <row r="1066" spans="1:131" ht="1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</row>
    <row r="1067" spans="1:131" ht="1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</row>
    <row r="1068" spans="1:131" ht="1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</row>
    <row r="1069" spans="1:131" ht="1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</row>
    <row r="1070" spans="1:131" ht="1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</row>
    <row r="1071" spans="1:131" ht="1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</row>
    <row r="1072" spans="1:131" ht="1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</row>
    <row r="1073" spans="1:131" ht="17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</row>
    <row r="1074" spans="1:131" ht="17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</row>
    <row r="1075" spans="1:131" ht="17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</row>
    <row r="1076" spans="1:131" ht="17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</row>
    <row r="1077" spans="1:131" ht="17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</row>
    <row r="1078" spans="1:131" ht="17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</row>
    <row r="1079" spans="1:131" ht="17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</row>
    <row r="1080" spans="1:131" ht="1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</row>
    <row r="1081" spans="1:131" ht="1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</row>
    <row r="1082" spans="1:131" ht="1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</row>
    <row r="1083" spans="1:131" ht="17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</row>
    <row r="1084" spans="1:131" ht="17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</row>
    <row r="1085" spans="1:131" ht="17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</row>
    <row r="1086" spans="1:131" ht="1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</row>
    <row r="1087" spans="1:131" ht="1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</row>
    <row r="1088" spans="1:131" ht="1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</row>
    <row r="1089" spans="1:131" ht="17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</row>
    <row r="1090" spans="1:131" ht="17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</row>
    <row r="1091" spans="1:131" ht="17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</row>
    <row r="1092" spans="1:131" ht="17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</row>
    <row r="1093" spans="1:131" ht="17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</row>
    <row r="1094" spans="1:131" ht="17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</row>
    <row r="1095" spans="1:131" ht="17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</row>
    <row r="1096" spans="1:131" ht="17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</row>
    <row r="1097" spans="1:131" ht="17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</row>
    <row r="1098" spans="1:131" ht="17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</row>
    <row r="1099" spans="1:131" ht="17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</row>
    <row r="1100" spans="1:131" ht="17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</row>
    <row r="1101" spans="1:131" ht="17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</row>
    <row r="1102" spans="1:131" ht="17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</row>
    <row r="1103" spans="1:131" ht="17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</row>
    <row r="1104" spans="1:131" ht="17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</row>
    <row r="1105" spans="1:131" ht="17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</row>
    <row r="1106" spans="1:131" ht="17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</row>
    <row r="1107" spans="1:131" ht="17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</row>
    <row r="1108" spans="1:131" ht="17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</row>
    <row r="1109" spans="1:131" ht="17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</row>
    <row r="1110" spans="1:131" ht="17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</row>
    <row r="1111" spans="1:131" ht="17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</row>
    <row r="1112" spans="1:131" ht="17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</row>
    <row r="1113" spans="1:131" ht="17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</row>
    <row r="1114" spans="1:131" ht="17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</row>
    <row r="1115" spans="1:131" ht="17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</row>
    <row r="1116" spans="1:131" ht="17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</row>
    <row r="1117" spans="1:131" ht="17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</row>
    <row r="1118" spans="1:131" ht="17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</row>
    <row r="1119" spans="1:131" ht="17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</row>
    <row r="1120" spans="1:131" ht="17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</row>
    <row r="1121" spans="1:131" ht="17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</row>
    <row r="1122" spans="1:131" ht="17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</row>
    <row r="1123" spans="1:131" ht="17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</row>
    <row r="1124" spans="1:131" ht="17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</row>
    <row r="1125" spans="1:131" ht="17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</row>
    <row r="1126" spans="1:131" ht="17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</row>
    <row r="1127" spans="1:131" ht="17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</row>
    <row r="1128" spans="1:131" ht="17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</row>
    <row r="1129" spans="1:131" ht="17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</row>
    <row r="1130" spans="1:131" ht="17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</row>
    <row r="1131" spans="1:131" ht="17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</row>
    <row r="1132" spans="1:131" ht="17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</row>
    <row r="1133" spans="1:131" ht="17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</row>
    <row r="1134" spans="1:131" ht="17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</row>
    <row r="1135" spans="1:131" ht="17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</row>
    <row r="1136" spans="1:131" ht="17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</row>
    <row r="1137" spans="1:131" ht="17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</row>
    <row r="1138" spans="1:131" ht="17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</row>
    <row r="1139" spans="1:131" ht="17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</row>
    <row r="1140" spans="1:131" ht="17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</row>
    <row r="1141" spans="1:131" ht="17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</row>
    <row r="1142" spans="1:131" ht="17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</row>
    <row r="1143" spans="1:131" ht="17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</row>
    <row r="1144" spans="1:131" ht="17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</row>
    <row r="1145" spans="1:131" ht="17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</row>
    <row r="1146" spans="1:131" ht="17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</row>
    <row r="1147" spans="1:131" ht="17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</row>
    <row r="1148" spans="1:131" ht="17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</row>
    <row r="1149" spans="1:131" ht="17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</row>
    <row r="1150" spans="1:131" ht="17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</row>
    <row r="1151" spans="1:131" ht="17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</row>
    <row r="1152" spans="1:131" ht="17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</row>
    <row r="1153" spans="1:131" ht="17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</row>
    <row r="1154" spans="1:131" ht="17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</row>
    <row r="1155" spans="1:131" ht="17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</row>
    <row r="1156" spans="1:131" ht="17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</row>
    <row r="1157" spans="1:131" ht="17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</row>
    <row r="1158" spans="1:131" ht="17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</row>
    <row r="1159" spans="1:131" ht="17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</row>
    <row r="1160" spans="1:131" ht="17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</row>
    <row r="1161" spans="1:131" ht="17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</row>
    <row r="1162" spans="1:131" ht="17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</row>
    <row r="1163" spans="1:131" ht="17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</row>
    <row r="1164" spans="1:131" ht="17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</row>
    <row r="1165" spans="1:131" ht="17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</row>
    <row r="1166" spans="1:131" ht="17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</row>
    <row r="1167" spans="1:131" ht="17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</row>
    <row r="1168" spans="1:131" ht="17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</row>
    <row r="1169" spans="1:131" ht="17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</row>
    <row r="1170" spans="1:131" ht="17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</row>
    <row r="1171" spans="1:131" ht="17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</row>
    <row r="1172" spans="1:131" ht="17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</row>
    <row r="1173" spans="1:131" ht="17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</row>
    <row r="1174" spans="1:131" ht="17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</row>
    <row r="1175" spans="1:131" ht="17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</row>
    <row r="1176" spans="1:131" ht="17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</row>
    <row r="1177" spans="1:131" ht="17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</row>
    <row r="1178" spans="1:131" ht="17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</row>
    <row r="1179" spans="1:131" ht="17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</row>
    <row r="1180" spans="1:131" ht="17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</row>
    <row r="1181" spans="1:131" ht="17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</row>
    <row r="1182" spans="1:131" ht="17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</row>
    <row r="1183" spans="1:131" ht="17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</row>
    <row r="1184" spans="1:131" ht="17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</row>
    <row r="1185" spans="1:131" ht="17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</row>
    <row r="1186" spans="1:131" ht="17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</row>
    <row r="1187" spans="1:131" ht="17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</row>
    <row r="1188" spans="1:131" ht="17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</row>
    <row r="1189" spans="1:131" ht="17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</row>
    <row r="1190" spans="1:131" ht="17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</row>
    <row r="1191" spans="1:131" ht="17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</row>
    <row r="1192" spans="1:131" ht="17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</row>
    <row r="1193" spans="1:131" ht="17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</row>
    <row r="1194" spans="1:131" ht="17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</row>
    <row r="1195" spans="1:131" ht="17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</row>
    <row r="1196" spans="1:131" ht="17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</row>
    <row r="1197" spans="1:131" ht="17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</row>
    <row r="1198" spans="1:131" ht="17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</row>
    <row r="1199" spans="1:131" ht="17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</row>
    <row r="1200" spans="1:131" ht="17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</row>
    <row r="1201" spans="1:131" ht="17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</row>
    <row r="1202" spans="1:131" ht="17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</row>
    <row r="1203" spans="1:131" ht="17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</row>
    <row r="1204" spans="1:131" ht="17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</row>
    <row r="1205" spans="1:131" ht="17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</row>
    <row r="1206" spans="1:131" ht="17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</row>
    <row r="1207" spans="1:131" ht="17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</row>
    <row r="1208" spans="1:131" ht="17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</row>
    <row r="1209" spans="1:131" ht="17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</row>
    <row r="1210" spans="1:131" ht="17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</row>
    <row r="1211" spans="1:131" ht="17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</row>
    <row r="1212" spans="1:131" ht="17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</row>
    <row r="1213" spans="1:131" ht="17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</row>
    <row r="1214" spans="1:131" ht="17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</row>
    <row r="1215" spans="1:131" ht="17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</row>
    <row r="1216" spans="1:131" ht="17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</row>
    <row r="1217" spans="1:131" ht="17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</row>
    <row r="1218" spans="1:131" ht="17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</row>
    <row r="1219" spans="1:131" ht="17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</row>
    <row r="1220" spans="1:131" ht="17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</row>
    <row r="1221" spans="1:131" ht="17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</row>
    <row r="1222" spans="1:131" ht="17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</row>
    <row r="1223" spans="1:131" ht="17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</row>
    <row r="1224" spans="1:131" ht="17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</row>
    <row r="1225" spans="1:131" ht="17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</row>
    <row r="1226" spans="1:131" ht="17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</row>
    <row r="1227" spans="1:131" ht="17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</row>
    <row r="1228" spans="1:131" ht="17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</row>
    <row r="1229" spans="1:131" ht="17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</row>
    <row r="1230" spans="1:131" ht="17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</row>
    <row r="1231" spans="1:131" ht="17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</row>
    <row r="1232" spans="1:131" ht="17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</row>
    <row r="1233" spans="1:131" ht="17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</row>
    <row r="1234" spans="1:131" ht="17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</row>
    <row r="1235" spans="1:131" ht="17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</row>
    <row r="1236" spans="1:131" ht="17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</row>
    <row r="1237" spans="1:131" ht="17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</row>
    <row r="1238" spans="1:131" ht="17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</row>
    <row r="1239" spans="1:131" ht="17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</row>
    <row r="1240" spans="1:131" ht="17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</row>
    <row r="1241" spans="1:131" ht="17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</row>
    <row r="1242" spans="1:131" ht="17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</row>
    <row r="1243" spans="1:131" ht="17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</row>
    <row r="1244" spans="1:131" ht="17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</row>
    <row r="1245" spans="1:131" ht="17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</row>
    <row r="1246" spans="1:131" ht="17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</row>
    <row r="1247" spans="1:131" ht="17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</row>
    <row r="1248" spans="1:131" ht="17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</row>
    <row r="1249" spans="1:131" ht="17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</row>
    <row r="1250" spans="1:131" ht="17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</row>
    <row r="1251" spans="1:131" ht="17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</row>
    <row r="1252" spans="1:131" ht="17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</row>
    <row r="1253" spans="1:131" ht="17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</row>
    <row r="1254" spans="1:131" ht="17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</row>
    <row r="1255" spans="1:131" ht="17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</row>
    <row r="1256" spans="1:131" ht="17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</row>
    <row r="1257" spans="1:131" ht="17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</row>
    <row r="1258" spans="1:131" ht="17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</row>
    <row r="1259" spans="1:131" ht="17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</row>
    <row r="1260" spans="1:131" ht="17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</row>
    <row r="1261" spans="1:131" ht="17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</row>
    <row r="1262" spans="1:131" ht="17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</row>
    <row r="1263" spans="1:131" ht="17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</row>
    <row r="1264" spans="1:131" ht="17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</row>
    <row r="1265" spans="1:131" ht="17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</row>
  </sheetData>
  <mergeCells count="26">
    <mergeCell ref="N181:Q181"/>
    <mergeCell ref="N183:O183"/>
    <mergeCell ref="D174:H174"/>
    <mergeCell ref="D178:H178"/>
    <mergeCell ref="D181:H181"/>
    <mergeCell ref="D175:H175"/>
    <mergeCell ref="D176:H176"/>
    <mergeCell ref="D177:H177"/>
    <mergeCell ref="D179:H179"/>
    <mergeCell ref="D180:H180"/>
    <mergeCell ref="A1:J1"/>
    <mergeCell ref="D3:H3"/>
    <mergeCell ref="D4:H4"/>
    <mergeCell ref="D5:H5"/>
    <mergeCell ref="A172:J172"/>
    <mergeCell ref="D88:H88"/>
    <mergeCell ref="D87:H87"/>
    <mergeCell ref="A85:J85"/>
    <mergeCell ref="N7:O7"/>
    <mergeCell ref="N5:Q5"/>
    <mergeCell ref="D92:H92"/>
    <mergeCell ref="N92:Q92"/>
    <mergeCell ref="N94:O94"/>
    <mergeCell ref="D89:H89"/>
    <mergeCell ref="D90:H90"/>
    <mergeCell ref="D91:H91"/>
  </mergeCells>
  <pageMargins left="0.7" right="0.7" top="0.75" bottom="0.75" header="0.3" footer="0.3"/>
  <pageSetup paperSize="9" orientation="portrait" horizontalDpi="0" verticalDpi="0"/>
  <drawing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433D-F3EE-E746-9FA9-C8E87E095B79}">
  <dimension ref="A1:CV773"/>
  <sheetViews>
    <sheetView topLeftCell="B1" workbookViewId="0">
      <selection activeCell="K26" sqref="K26"/>
    </sheetView>
  </sheetViews>
  <sheetFormatPr baseColWidth="10" defaultRowHeight="16" x14ac:dyDescent="0.2"/>
  <cols>
    <col min="1" max="1" width="32.33203125" hidden="1" customWidth="1"/>
    <col min="2" max="2" width="14" customWidth="1"/>
    <col min="3" max="3" width="12.6640625" customWidth="1"/>
    <col min="4" max="4" width="15.33203125" customWidth="1"/>
    <col min="5" max="5" width="22.33203125" customWidth="1"/>
    <col min="6" max="6" width="13.33203125" customWidth="1"/>
    <col min="7" max="7" width="25.1640625" customWidth="1"/>
    <col min="8" max="8" width="27.1640625" customWidth="1"/>
  </cols>
  <sheetData>
    <row r="1" spans="1:100" ht="23" x14ac:dyDescent="0.3">
      <c r="A1" s="1"/>
      <c r="B1" s="212" t="s">
        <v>234</v>
      </c>
      <c r="C1" s="212"/>
      <c r="D1" s="212"/>
      <c r="E1" s="212"/>
      <c r="F1" s="212"/>
      <c r="G1" s="212"/>
      <c r="H1" s="21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 spans="1:100" ht="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 spans="1:100" ht="17" x14ac:dyDescent="0.25">
      <c r="A3" s="1"/>
      <c r="B3" s="213" t="s">
        <v>235</v>
      </c>
      <c r="C3" s="213"/>
      <c r="D3" s="213"/>
      <c r="E3" s="213"/>
      <c r="F3" s="213"/>
      <c r="G3" s="213"/>
      <c r="H3" s="21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 spans="1:100" ht="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 spans="1:100" ht="17" x14ac:dyDescent="0.25">
      <c r="A5" s="1"/>
      <c r="B5" s="143" t="s">
        <v>3</v>
      </c>
      <c r="C5" s="144" t="s">
        <v>4</v>
      </c>
      <c r="D5" s="144" t="s">
        <v>5</v>
      </c>
      <c r="E5" s="144" t="s">
        <v>173</v>
      </c>
      <c r="F5" s="144" t="s">
        <v>148</v>
      </c>
      <c r="G5" s="144" t="s">
        <v>175</v>
      </c>
      <c r="H5" s="145" t="s">
        <v>233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 spans="1:100" ht="17" x14ac:dyDescent="0.25">
      <c r="A6" t="str">
        <f t="shared" ref="A6:A15" si="0">IF(AND(B6&lt;&gt;"", C6&lt;&gt;""), B6 &amp; " - " &amp; C6,"")</f>
        <v>Cerveza - Alemania</v>
      </c>
      <c r="B6" s="117" t="s">
        <v>7</v>
      </c>
      <c r="C6" s="8" t="s">
        <v>10</v>
      </c>
      <c r="D6" s="146">
        <v>30</v>
      </c>
      <c r="E6" s="88">
        <f>IFERROR(_xlfn.XLOOKUP(A6,'2_Modelo'!$F:$F,'2_Modelo'!$D:$D,""),"")</f>
        <v>160.595</v>
      </c>
      <c r="F6" s="88">
        <f t="shared" ref="F6:F15" si="1">IF(AND(D6&lt;&gt;"",E6&lt;&gt;""),D6 * E6,"")</f>
        <v>4817.8500000000004</v>
      </c>
      <c r="G6" s="88" cm="1">
        <f t="array" ref="G6">IF(AND(B6&lt;&gt;"",C6&lt;&gt;""),
    INDEX('4_Solver_Escenarios'!$C$6:$C$90,
           MATCH(1,
                     (B6='4_Solver_Escenarios'!$A$6:$A$90)*
                     (C6='4_Solver_Escenarios'!$B$6:$B$90),
                     0)
    )
    -
    INDEX('4_Solver_Escenarios'!$D$6:$D$100,
           MATCH(1,
                     (B6='4_Solver_Escenarios'!$A$6:$A$90)*
                     (C6='4_Solver_Escenarios'!$B$6:$B$90),
                     0)
    ),
"")</f>
        <v>56.208249999999992</v>
      </c>
      <c r="H6" s="140" t="str">
        <f>IFERROR(_xlfn.XLOOKUP(A6,'2_Modelo'!$F:$F,'2_Modelo'!$G:$G,""),"")</f>
        <v>Alta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 spans="1:100" ht="17" x14ac:dyDescent="0.25">
      <c r="A7" t="str">
        <f t="shared" si="0"/>
        <v>Chocolate - EE.UU.</v>
      </c>
      <c r="B7" s="117" t="s">
        <v>24</v>
      </c>
      <c r="C7" s="8" t="s">
        <v>20</v>
      </c>
      <c r="D7" s="146">
        <v>43</v>
      </c>
      <c r="E7" s="88">
        <f>IFERROR(_xlfn.XLOOKUP(A7,'2_Modelo'!$F:$F,'2_Modelo'!$D:$D,""),"")</f>
        <v>213.27</v>
      </c>
      <c r="F7" s="88">
        <f t="shared" si="1"/>
        <v>9170.61</v>
      </c>
      <c r="G7" s="88" cm="1">
        <f t="array" ref="G7">IF(AND(B7&lt;&gt;"",C7&lt;&gt;""),
    INDEX('4_Solver_Escenarios'!$C$6:$C$90,
           MATCH(1,
                     (B7='4_Solver_Escenarios'!$A$6:$A$90)*
                     (C7='4_Solver_Escenarios'!$B$6:$B$90),
                     0)
    )
    -
    INDEX('4_Solver_Escenarios'!$D$6:$D$100,
           MATCH(1,
                     (B7='4_Solver_Escenarios'!$A$6:$A$90)*
                     (C7='4_Solver_Escenarios'!$B$6:$B$90),
                     0)
    ),
"")</f>
        <v>74.644499999999994</v>
      </c>
      <c r="H7" s="140" t="str">
        <f>IFERROR(_xlfn.XLOOKUP(A7,'2_Modelo'!$F:$F,'2_Modelo'!$G:$G,""),"")</f>
        <v>Alta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 spans="1:100" ht="17" x14ac:dyDescent="0.25">
      <c r="A8" t="str">
        <f t="shared" si="0"/>
        <v>Cerámica - España</v>
      </c>
      <c r="B8" s="117" t="s">
        <v>17</v>
      </c>
      <c r="C8" s="8" t="s">
        <v>13</v>
      </c>
      <c r="D8" s="146">
        <v>50</v>
      </c>
      <c r="E8" s="88">
        <f>IFERROR(_xlfn.XLOOKUP(A8,'2_Modelo'!$F:$F,'2_Modelo'!$D:$D,""),"")</f>
        <v>90.79</v>
      </c>
      <c r="F8" s="88">
        <f t="shared" si="1"/>
        <v>4539.5</v>
      </c>
      <c r="G8" s="88" cm="1">
        <f t="array" ref="G8">IF(AND(B8&lt;&gt;"",C8&lt;&gt;""),
    INDEX('4_Solver_Escenarios'!$C$6:$C$90,
           MATCH(1,
                     (B8='4_Solver_Escenarios'!$A$6:$A$90)*
                     (C8='4_Solver_Escenarios'!$B$6:$B$90),
                     0)
    )
    -
    INDEX('4_Solver_Escenarios'!$D$6:$D$100,
           MATCH(1,
                     (B8='4_Solver_Escenarios'!$A$6:$A$90)*
                     (C8='4_Solver_Escenarios'!$B$6:$B$90),
                     0)
    ),
"")</f>
        <v>31.776499999999999</v>
      </c>
      <c r="H8" s="140" t="str">
        <f>IFERROR(_xlfn.XLOOKUP(A8,'2_Modelo'!$F:$F,'2_Modelo'!$G:$G,""),"")</f>
        <v>Baja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 spans="1:100" ht="17" x14ac:dyDescent="0.25">
      <c r="A9" t="str">
        <f t="shared" si="0"/>
        <v/>
      </c>
      <c r="B9" s="117"/>
      <c r="C9" s="8"/>
      <c r="D9" s="146"/>
      <c r="E9" s="88" t="str">
        <f>IFERROR(_xlfn.XLOOKUP(A9,'2_Modelo'!$F:$F,'2_Modelo'!$D:$D,""),"")</f>
        <v/>
      </c>
      <c r="F9" s="88" t="str">
        <f t="shared" si="1"/>
        <v/>
      </c>
      <c r="G9" s="88" t="str" cm="1">
        <f t="array" ref="G9">IF(AND(B9&lt;&gt;"",C9&lt;&gt;""),
    INDEX('4_Solver_Escenarios'!$C$6:$C$90,
           MATCH(1,
                     (B9='4_Solver_Escenarios'!$A$6:$A$90)*
                     (C9='4_Solver_Escenarios'!$B$6:$B$90),
                     0)
    )
    -
    INDEX('4_Solver_Escenarios'!$D$6:$D$100,
           MATCH(1,
                     (B9='4_Solver_Escenarios'!$A$6:$A$90)*
                     (C9='4_Solver_Escenarios'!$B$6:$B$90),
                     0)
    ),
"")</f>
        <v/>
      </c>
      <c r="H9" s="140" t="str">
        <f>IFERROR(_xlfn.XLOOKUP(A9,'2_Modelo'!$F:$F,'2_Modelo'!$G:$G,""),"")</f>
        <v/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 spans="1:100" ht="17" x14ac:dyDescent="0.25">
      <c r="A10" t="str">
        <f t="shared" si="0"/>
        <v/>
      </c>
      <c r="B10" s="117"/>
      <c r="C10" s="8"/>
      <c r="D10" s="146"/>
      <c r="E10" s="88" t="str">
        <f>IFERROR(_xlfn.XLOOKUP(A10,'2_Modelo'!$F:$F,'2_Modelo'!$D:$D,""),"")</f>
        <v/>
      </c>
      <c r="F10" s="88" t="str">
        <f t="shared" si="1"/>
        <v/>
      </c>
      <c r="G10" s="88" t="str" cm="1">
        <f t="array" ref="G10">IF(AND(B10&lt;&gt;"",C10&lt;&gt;""),
    INDEX('4_Solver_Escenarios'!$C$6:$C$90,
           MATCH(1,
                     (B10='4_Solver_Escenarios'!$A$6:$A$90)*
                     (C10='4_Solver_Escenarios'!$B$6:$B$90),
                     0)
    )
    -
    INDEX('4_Solver_Escenarios'!$D$6:$D$100,
           MATCH(1,
                     (B10='4_Solver_Escenarios'!$A$6:$A$90)*
                     (C10='4_Solver_Escenarios'!$B$6:$B$90),
                     0)
    ),
"")</f>
        <v/>
      </c>
      <c r="H10" s="140" t="str">
        <f>IFERROR(_xlfn.XLOOKUP(A10,'2_Modelo'!$F:$F,'2_Modelo'!$G:$G,""),"")</f>
        <v/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 spans="1:100" ht="17" x14ac:dyDescent="0.25">
      <c r="A11" t="str">
        <f t="shared" si="0"/>
        <v/>
      </c>
      <c r="B11" s="117"/>
      <c r="C11" s="8"/>
      <c r="D11" s="146"/>
      <c r="E11" s="88" t="str">
        <f>IFERROR(_xlfn.XLOOKUP(A11,'2_Modelo'!$F:$F,'2_Modelo'!$D:$D,""),"")</f>
        <v/>
      </c>
      <c r="F11" s="88" t="str">
        <f t="shared" si="1"/>
        <v/>
      </c>
      <c r="G11" s="88" t="str" cm="1">
        <f t="array" ref="G11">IF(AND(B11&lt;&gt;"",C11&lt;&gt;""),
    INDEX('4_Solver_Escenarios'!$C$6:$C$90,
           MATCH(1,
                     (B11='4_Solver_Escenarios'!$A$6:$A$90)*
                     (C11='4_Solver_Escenarios'!$B$6:$B$90),
                     0)
    )
    -
    INDEX('4_Solver_Escenarios'!$D$6:$D$100,
           MATCH(1,
                     (B11='4_Solver_Escenarios'!$A$6:$A$90)*
                     (C11='4_Solver_Escenarios'!$B$6:$B$90),
                     0)
    ),
"")</f>
        <v/>
      </c>
      <c r="H11" s="140" t="str">
        <f>IFERROR(_xlfn.XLOOKUP(A11,'2_Modelo'!$F:$F,'2_Modelo'!$G:$G,""),"")</f>
        <v/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 spans="1:100" ht="17" x14ac:dyDescent="0.25">
      <c r="A12" t="str">
        <f t="shared" si="0"/>
        <v/>
      </c>
      <c r="B12" s="117"/>
      <c r="C12" s="8"/>
      <c r="D12" s="146"/>
      <c r="E12" s="88" t="str">
        <f>IFERROR(_xlfn.XLOOKUP(A12,'2_Modelo'!$F:$F,'2_Modelo'!$D:$D,""),"")</f>
        <v/>
      </c>
      <c r="F12" s="88" t="str">
        <f t="shared" si="1"/>
        <v/>
      </c>
      <c r="G12" s="88" t="str" cm="1">
        <f t="array" ref="G12">IF(AND(B12&lt;&gt;"",C12&lt;&gt;""),
    INDEX('4_Solver_Escenarios'!$C$6:$C$90,
           MATCH(1,
                     (B12='4_Solver_Escenarios'!$A$6:$A$90)*
                     (C12='4_Solver_Escenarios'!$B$6:$B$90),
                     0)
    )
    -
    INDEX('4_Solver_Escenarios'!$D$6:$D$100,
           MATCH(1,
                     (B12='4_Solver_Escenarios'!$A$6:$A$90)*
                     (C12='4_Solver_Escenarios'!$B$6:$B$90),
                     0)
    ),
"")</f>
        <v/>
      </c>
      <c r="H12" s="140" t="str">
        <f>IFERROR(_xlfn.XLOOKUP(A12,'2_Modelo'!$F:$F,'2_Modelo'!$G:$G,""),"")</f>
        <v/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 spans="1:100" ht="17" x14ac:dyDescent="0.25">
      <c r="A13" t="str">
        <f t="shared" si="0"/>
        <v/>
      </c>
      <c r="B13" s="117"/>
      <c r="C13" s="8"/>
      <c r="D13" s="146"/>
      <c r="E13" s="88" t="str">
        <f>IFERROR(_xlfn.XLOOKUP(A13,'2_Modelo'!$F:$F,'2_Modelo'!$D:$D,""),"")</f>
        <v/>
      </c>
      <c r="F13" s="88" t="str">
        <f t="shared" si="1"/>
        <v/>
      </c>
      <c r="G13" s="88" t="str" cm="1">
        <f t="array" ref="G13">IF(AND(B13&lt;&gt;"",C13&lt;&gt;""),
    INDEX('4_Solver_Escenarios'!$C$6:$C$90,
           MATCH(1,
                     (B13='4_Solver_Escenarios'!$A$6:$A$90)*
                     (C13='4_Solver_Escenarios'!$B$6:$B$90),
                     0)
    )
    -
    INDEX('4_Solver_Escenarios'!$D$6:$D$100,
           MATCH(1,
                     (B13='4_Solver_Escenarios'!$A$6:$A$90)*
                     (C13='4_Solver_Escenarios'!$B$6:$B$90),
                     0)
    ),
"")</f>
        <v/>
      </c>
      <c r="H13" s="140" t="str">
        <f>IFERROR(_xlfn.XLOOKUP(A13,'2_Modelo'!$F:$F,'2_Modelo'!$G:$G,""),"")</f>
        <v/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 spans="1:100" ht="17" x14ac:dyDescent="0.25">
      <c r="A14" t="str">
        <f t="shared" si="0"/>
        <v/>
      </c>
      <c r="B14" s="117"/>
      <c r="C14" s="8"/>
      <c r="D14" s="146"/>
      <c r="E14" s="88" t="str">
        <f>IFERROR(_xlfn.XLOOKUP(A14,'2_Modelo'!$F:$F,'2_Modelo'!$D:$D,""),"")</f>
        <v/>
      </c>
      <c r="F14" s="88" t="str">
        <f>IF(AND(D14&lt;&gt;"",E14&lt;&gt;""),D14 * E14,"")</f>
        <v/>
      </c>
      <c r="G14" s="88" t="str" cm="1">
        <f t="array" ref="G14">IF(AND(B14&lt;&gt;"",C14&lt;&gt;""),
    INDEX('4_Solver_Escenarios'!$C$6:$C$90,
           MATCH(1,
                     (B14='4_Solver_Escenarios'!$A$6:$A$90)*
                     (C14='4_Solver_Escenarios'!$B$6:$B$90),
                     0)
    )
    -
    INDEX('4_Solver_Escenarios'!$D$6:$D$100,
           MATCH(1,
                     (B14='4_Solver_Escenarios'!$A$6:$A$90)*
                     (C14='4_Solver_Escenarios'!$B$6:$B$90),
                     0)
    ),
"")</f>
        <v/>
      </c>
      <c r="H14" s="140" t="str">
        <f>IFERROR(_xlfn.XLOOKUP(A14,'2_Modelo'!$F:$F,'2_Modelo'!$G:$G,""),"")</f>
        <v/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 spans="1:100" ht="17" x14ac:dyDescent="0.25">
      <c r="A15" t="str">
        <f t="shared" si="0"/>
        <v/>
      </c>
      <c r="B15" s="118"/>
      <c r="C15" s="12"/>
      <c r="D15" s="147"/>
      <c r="E15" s="139" t="str">
        <f>IFERROR(_xlfn.XLOOKUP(A15,'2_Modelo'!$F:$F,'2_Modelo'!$D:$D,""),"")</f>
        <v/>
      </c>
      <c r="F15" s="88" t="str">
        <f t="shared" si="1"/>
        <v/>
      </c>
      <c r="G15" s="139" t="str" cm="1">
        <f t="array" ref="G15">IF(AND(B15&lt;&gt;"",C15&lt;&gt;""),
    INDEX('4_Solver_Escenarios'!$C$6:$C$90,
           MATCH(1,
                     (B15='4_Solver_Escenarios'!$A$6:$A$90)*
                     (C15='4_Solver_Escenarios'!$B$6:$B$90),
                     0)
    )
    -
    INDEX('4_Solver_Escenarios'!$D$6:$D$100,
           MATCH(1,
                     (B15='4_Solver_Escenarios'!$A$6:$A$90)*
                     (C15='4_Solver_Escenarios'!$B$6:$B$90),
                     0)
    ),
"")</f>
        <v/>
      </c>
      <c r="H15" s="141" t="str">
        <f>IFERROR(_xlfn.XLOOKUP(A15,'2_Modelo'!$F:$F,'2_Modelo'!$G:$G,""),"")</f>
        <v/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 spans="1:100" ht="1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 spans="1:100" ht="1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 spans="1:100" ht="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 spans="1:100" ht="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 spans="1:100" ht="1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 spans="1:100" ht="1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 spans="1:100" ht="1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 spans="1:100" ht="1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 spans="1:100" ht="1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1:100" ht="1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 spans="1:100" ht="1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 spans="1:100" ht="1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 spans="1:100" ht="1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 spans="1:100" ht="1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0" ht="1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 spans="1:100" ht="1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 spans="1:100" ht="1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 spans="1:100" ht="1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1:100" ht="1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 spans="1:100" ht="1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 spans="1:100" ht="1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 spans="1:100" ht="1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 spans="1:100" ht="1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 spans="1:100" ht="1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 spans="1:100" ht="1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 spans="1:100" ht="1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 spans="1:100" ht="1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 spans="1:100" ht="1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 spans="1:100" ht="1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 spans="1:100" ht="1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 spans="1:100" ht="1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 spans="1:100" ht="1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 spans="1:100" ht="1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 spans="1:100" ht="1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 spans="1:100" ht="1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 spans="1:100" ht="1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 spans="1:100" ht="1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 spans="1:100" ht="1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 spans="1:100" ht="1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 spans="1:100" ht="1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 spans="1:100" ht="1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 spans="1:100" ht="1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 spans="1:100" ht="1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 spans="1:100" ht="1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 spans="1:100" ht="1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 spans="1:100" ht="1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 spans="1:100" ht="1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 spans="1:100" ht="1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 spans="1:100" ht="1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 spans="1:100" ht="1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 spans="1:100" ht="1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 spans="1:100" ht="1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 spans="1:100" ht="1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 spans="1:100" ht="1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 spans="1:100" ht="1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 spans="1:100" ht="1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 spans="1:100" ht="1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 spans="1:100" ht="1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 spans="1:100" ht="1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 spans="1:100" ht="1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 spans="1:100" ht="1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 spans="1:100" ht="1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 spans="1:100" ht="1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 spans="1:100" ht="1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 spans="1:100" ht="1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 spans="1:100" ht="1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 spans="1:100" ht="1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 spans="1:100" ht="1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 spans="1:100" ht="1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 spans="1:100" ht="1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 spans="1:100" ht="1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 spans="1:100" ht="1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 spans="1:100" ht="1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 spans="1:100" ht="1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 spans="1:100" ht="1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 spans="1:100" ht="1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 spans="1:100" ht="1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 spans="1:100" ht="1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 spans="1:100" ht="1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 spans="1:100" ht="1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 spans="1:100" ht="1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 spans="1:100" ht="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 spans="1:100" ht="1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 spans="1:100" ht="1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 spans="1:100" ht="1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 spans="1:100" ht="1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 spans="1:100" ht="1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 spans="1:100" ht="1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 spans="1:100" ht="1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 spans="1:100" ht="1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 spans="1:100" ht="1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 spans="1:100" ht="1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 spans="1:100" ht="1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 spans="1:100" ht="1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 spans="1:100" ht="1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 spans="1:100" ht="1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 spans="1:100" ht="1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 spans="1:100" ht="1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 spans="1:100" ht="1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 spans="1:100" ht="1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 spans="1:100" ht="1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 spans="1:100" ht="1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 spans="1:100" ht="1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 spans="1:100" ht="1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 spans="1:100" ht="1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0" ht="1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 spans="1:100" ht="1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 spans="1:100" ht="1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 spans="1:100" ht="1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 spans="1:100" ht="1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 spans="1:100" ht="1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 spans="1:100" ht="1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 spans="1:100" ht="1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 spans="1:100" ht="1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 spans="1:100" ht="1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 spans="1:100" ht="1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 spans="1:100" ht="1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 spans="1:100" ht="1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 spans="1:100" ht="1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 spans="1:100" ht="1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 spans="1:100" ht="1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 spans="1:100" ht="1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 spans="1:100" ht="1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 spans="1:100" ht="1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 spans="1:100" ht="1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 spans="1:100" ht="1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 spans="1:100" ht="1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 spans="1:100" ht="1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1:100" ht="1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 spans="1:100" ht="1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 spans="1:100" ht="1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 spans="1:100" ht="1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 spans="1:100" ht="1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 spans="1:100" ht="1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 spans="1:100" ht="1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 spans="1:100" ht="1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 spans="1:100" ht="1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 spans="1:100" ht="1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 spans="1:100" ht="1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 spans="1:100" ht="1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 spans="1:100" ht="1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 spans="1:100" ht="1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 spans="1:100" ht="1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 spans="1:100" ht="1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 spans="1:100" ht="1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 spans="1:100" ht="1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 spans="1:100" ht="1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 spans="1:100" ht="1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 spans="1:100" ht="1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 spans="1:100" ht="1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 spans="1:100" ht="1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 spans="1:100" ht="1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 spans="1:100" ht="1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 spans="1:100" ht="1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 spans="1:100" ht="1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 spans="1:100" ht="1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 spans="1:100" ht="1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 spans="1:100" ht="1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 spans="1:100" ht="1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 spans="1:100" ht="1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 spans="1:100" ht="1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 spans="1:100" ht="1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 spans="1:100" ht="1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 spans="1:100" ht="1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 spans="1:100" ht="1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 spans="1:100" ht="1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 spans="1:100" ht="1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 spans="1:100" ht="1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 spans="1:100" ht="1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 spans="1:100" ht="1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 spans="1:100" ht="1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 spans="1:100" ht="1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 spans="1:100" ht="1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 spans="1:100" ht="1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 spans="1:100" ht="1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1:100" ht="1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 spans="1:100" ht="1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 spans="1:100" ht="1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 spans="1:100" ht="1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 spans="1:100" ht="1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1:100" ht="1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 spans="1:100" ht="1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 spans="1:100" ht="1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 spans="1:100" ht="1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 spans="1:100" ht="1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 spans="1:100" ht="1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 spans="1:100" ht="1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 spans="1:100" ht="1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 spans="1:100" ht="1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 spans="1:100" ht="1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 spans="1:100" ht="1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 spans="1:100" ht="1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 spans="1:100" ht="1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 spans="1:100" ht="1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 spans="1:100" ht="1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 spans="1:100" ht="1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 spans="1:100" ht="1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 spans="1:100" ht="1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 spans="1:100" ht="1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 spans="1:100" ht="1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 spans="1:100" ht="1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 spans="1:100" ht="1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 spans="1:100" ht="1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 spans="1:100" ht="1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 spans="1:100" ht="1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 spans="1:100" ht="1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 spans="1:100" ht="1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 spans="1:100" ht="1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 spans="1:100" ht="1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 spans="1:100" ht="1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 spans="1:100" ht="1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 spans="1:100" ht="1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 spans="1:100" ht="1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 spans="1:100" ht="1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 spans="1:100" ht="1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 spans="1:100" ht="1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 spans="1:100" ht="1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 spans="1:100" ht="1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 spans="1:100" ht="1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 spans="1:100" ht="1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 spans="1:100" ht="1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 spans="1:100" ht="1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 spans="1:100" ht="1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 spans="1:100" ht="1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 spans="1:100" ht="1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 spans="1:100" ht="1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 spans="1:100" ht="1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 spans="1:100" ht="1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 spans="1:100" ht="1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 spans="1:100" ht="1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 spans="1:100" ht="1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 spans="1:100" ht="1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 spans="1:100" ht="1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 spans="1:100" ht="1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 spans="1:100" ht="1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 spans="1:100" ht="1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 spans="1:100" ht="1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 spans="1:100" ht="1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 spans="1:100" ht="1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 spans="1:100" ht="1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 spans="1:100" ht="1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 spans="1:100" ht="1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 spans="1:100" ht="1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 spans="1:100" ht="1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 spans="1:100" ht="1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 spans="1:100" ht="1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 spans="1:100" ht="1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 spans="1:100" ht="1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 spans="1:100" ht="1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 spans="1:100" ht="1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 spans="1:100" ht="1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 spans="1:100" ht="1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 spans="1:100" ht="1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 spans="1:100" ht="1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 spans="1:100" ht="1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 spans="1:100" ht="1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 spans="1:100" ht="1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 spans="1:100" ht="1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 spans="1:100" ht="1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 spans="1:100" ht="1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 spans="1:100" ht="1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 spans="1:100" ht="1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 spans="1:100" ht="1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 spans="1:100" ht="1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 spans="1:100" ht="1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 spans="1:100" ht="1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 spans="1:100" ht="1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 spans="1:100" ht="1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 spans="1:100" ht="1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 spans="1:100" ht="1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 spans="1:100" ht="1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 spans="1:100" ht="1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 spans="1:100" ht="1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 spans="1:100" ht="1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 spans="1:100" ht="1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 spans="1:100" ht="1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 spans="1:100" ht="1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 spans="1:100" ht="1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 spans="1:100" ht="1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 spans="1:100" ht="1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 spans="1:100" ht="1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 spans="1:100" ht="1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 spans="1:100" ht="1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 spans="1:100" ht="1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 spans="1:100" ht="1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 spans="1:100" ht="1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 spans="1:100" ht="1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 spans="1:100" ht="1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 spans="1:100" ht="1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 spans="1:100" ht="1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 spans="1:100" ht="1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 spans="1:100" ht="1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 spans="1:100" ht="1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 spans="1:100" ht="1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 spans="1:100" ht="1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 spans="1:100" ht="1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 spans="1:100" ht="1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 spans="1:100" ht="1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 spans="1:100" ht="1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 spans="1:100" ht="1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 spans="1:100" ht="1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 spans="1:100" ht="1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 spans="1:100" ht="1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 spans="1:100" ht="1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 spans="1:100" ht="1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 spans="1:100" ht="1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 spans="1:100" ht="1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 spans="1:100" ht="1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 spans="1:100" ht="1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 spans="1:100" ht="1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 spans="1:100" ht="1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 spans="1:100" ht="1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 spans="1:100" ht="1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 spans="1:100" ht="1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 spans="1:100" ht="1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 spans="1:100" ht="1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 spans="1:100" ht="1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 spans="1:100" ht="1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 spans="1:100" ht="1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 spans="1:100" ht="1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 spans="1:100" ht="1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 spans="1:100" ht="1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 spans="1:100" ht="1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 spans="1:100" ht="1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 spans="1:100" ht="1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 spans="1:100" ht="1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 spans="1:100" ht="1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 spans="1:100" ht="1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 spans="1:100" ht="1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 spans="1:100" ht="1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 spans="1:100" ht="1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 spans="1:100" ht="1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 spans="1:100" ht="1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 spans="1:100" ht="1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 spans="1:100" ht="1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 spans="1:100" ht="1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 spans="1:100" ht="1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 spans="1:100" ht="1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 spans="1:100" ht="1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 spans="1:100" ht="1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 spans="1:100" ht="1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 spans="1:100" ht="1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 spans="1:100" ht="1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 spans="1:100" ht="1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 spans="1:100" ht="1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 spans="1:100" ht="1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 spans="1:100" ht="1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 spans="1:100" ht="1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 spans="1:100" ht="1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 spans="1:100" ht="1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 spans="1:100" ht="1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 spans="1:100" ht="1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 spans="1:100" ht="1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 spans="1:100" ht="1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 spans="1:100" ht="1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 spans="1:100" ht="1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 spans="1:100" ht="1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 spans="1:100" ht="1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 spans="1:100" ht="1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 spans="1:100" ht="1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 spans="1:100" ht="1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 spans="1:100" ht="1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 spans="1:100" ht="1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 spans="1:100" ht="1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 spans="1:100" ht="1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 spans="1:100" ht="1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 spans="1:100" ht="1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 spans="1:100" ht="1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 spans="1:100" ht="1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 spans="1:100" ht="1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 spans="1:100" ht="1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 spans="1:100" ht="1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 spans="1:100" ht="1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 spans="1:100" ht="1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 spans="1:100" ht="1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 spans="1:100" ht="1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 spans="1:100" ht="1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 spans="1:100" ht="1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 spans="1:100" ht="1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 spans="1:100" ht="1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 spans="1:100" ht="1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 spans="1:100" ht="1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 spans="1:100" ht="1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 spans="1:100" ht="1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 spans="1:100" ht="1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 spans="1:100" ht="1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 spans="1:100" ht="1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 spans="1:100" ht="1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 spans="1:100" ht="1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 spans="1:100" ht="1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 spans="1:100" ht="1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 spans="1:100" ht="1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 spans="1:100" ht="1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 spans="1:100" ht="1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 spans="1:100" ht="1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 spans="1:100" ht="1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 spans="1:100" ht="1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 spans="1:100" ht="1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 spans="1:100" ht="1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 spans="1:100" ht="1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 spans="1:100" ht="1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 spans="1:100" ht="1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 spans="1:100" ht="1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 spans="1:100" ht="1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 spans="1:100" ht="1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 spans="1:100" ht="1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 spans="1:100" ht="1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 spans="1:100" ht="1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 spans="1:100" ht="1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 spans="1:100" ht="1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 spans="1:100" ht="1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 spans="1:100" ht="1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 spans="1:100" ht="1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 spans="1:100" ht="1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 spans="1:100" ht="1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 spans="1:100" ht="1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 spans="1:100" ht="1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 spans="1:100" ht="1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 spans="1:100" ht="1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 spans="1:100" ht="1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 spans="1:100" ht="1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 spans="1:100" ht="1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 spans="1:100" ht="1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 spans="1:100" ht="1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 spans="1:100" ht="1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 spans="1:100" ht="1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 spans="1:100" ht="1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 spans="1:100" ht="1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 spans="1:100" ht="1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 spans="1:100" ht="1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 spans="1:100" ht="1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 spans="1:100" ht="1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 spans="1:100" ht="1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 spans="1:100" ht="1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 spans="1:100" ht="1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 spans="1:100" ht="1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 spans="1:100" ht="1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 spans="1:100" ht="1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 spans="1:100" ht="1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 spans="1:100" ht="1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 spans="1:100" ht="1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 spans="1:100" ht="1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 spans="1:100" ht="1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 spans="1:100" ht="1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 spans="1:100" ht="1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 spans="1:100" ht="1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 spans="1:100" ht="1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 spans="1:100" ht="1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 spans="1:100" ht="1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 spans="1:100" ht="1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 spans="1:100" ht="1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 spans="1:100" ht="1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 spans="1:100" ht="1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 spans="1:100" ht="1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 spans="1:100" ht="1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 spans="1:100" ht="1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 spans="1:100" ht="1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 spans="1:100" ht="1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 spans="1:100" ht="1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 spans="1:100" ht="1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 spans="1:100" ht="1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 spans="1:100" ht="1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 spans="1:100" ht="1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 spans="1:100" ht="1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 spans="1:100" ht="1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 spans="1:100" ht="1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 spans="1:100" ht="1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 spans="1:100" ht="1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 spans="1:100" ht="1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 spans="1:100" ht="1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 spans="1:100" ht="1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 spans="1:100" ht="1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 spans="1:100" ht="1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 spans="1:100" ht="1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 spans="1:100" ht="1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 spans="1:100" ht="1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 spans="1:100" ht="1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 spans="1:100" ht="1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 spans="1:100" ht="1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 spans="1:100" ht="1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 spans="1:100" ht="1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 spans="1:100" ht="1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 spans="1:100" ht="1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 spans="1:100" ht="1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 spans="1:100" ht="1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 spans="1:100" ht="1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 spans="1:100" ht="1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 spans="1:100" ht="1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 spans="1:100" ht="1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 spans="1:100" ht="1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 spans="1:100" ht="1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 spans="1:100" ht="1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 spans="1:100" ht="1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 spans="1:100" ht="1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 spans="1:100" ht="1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 spans="1:100" ht="1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 spans="1:100" ht="1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 spans="1:100" ht="1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 spans="1:100" ht="1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 spans="1:100" ht="1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 spans="1:100" ht="1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 spans="1:100" ht="1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 spans="1:100" ht="1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 spans="1:100" ht="1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 spans="1:100" ht="1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 spans="1:100" ht="1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 spans="1:100" ht="1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 spans="1:100" ht="1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 spans="1:100" ht="1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 spans="1:100" ht="1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 spans="1:100" ht="1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 spans="1:100" ht="1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 spans="1:100" ht="1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 spans="1:100" ht="1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 spans="1:100" ht="1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 spans="1:100" ht="1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 spans="1:100" ht="1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 spans="1:100" ht="1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 spans="1:100" ht="1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 spans="1:100" ht="1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 spans="1:100" ht="1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 spans="1:100" ht="1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 spans="1:100" ht="1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 spans="1:100" ht="1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 spans="1:100" ht="1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 spans="1:100" ht="1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 spans="1:100" ht="1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 spans="1:100" ht="1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 spans="1:100" ht="1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 spans="1:100" ht="1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 spans="1:100" ht="1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 spans="1:100" ht="1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 spans="1:100" ht="1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 spans="1:100" ht="1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 spans="1:100" ht="1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 spans="1:100" ht="1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 spans="1:100" ht="1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 spans="1:100" ht="1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 spans="1:100" ht="1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 spans="1:100" ht="1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 spans="1:100" ht="1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 spans="1:100" ht="1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 spans="1:100" ht="1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 spans="1:100" ht="1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 spans="1:100" ht="1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 spans="1:100" ht="1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 spans="1:100" ht="1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 spans="1:100" ht="1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 spans="1:100" ht="1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 spans="1:100" ht="1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 spans="1:100" ht="1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 spans="1:100" ht="1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 spans="1:100" ht="1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 spans="1:100" ht="1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 spans="1:100" ht="1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 spans="1:100" ht="1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 spans="1:100" ht="1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 spans="1:100" ht="1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 spans="1:100" ht="1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 spans="1:100" ht="1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 spans="1:100" ht="1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 spans="1:100" ht="1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 spans="1:100" ht="1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 spans="1:100" ht="1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 spans="1:100" ht="1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 spans="1:100" ht="1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 spans="1:100" ht="1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 spans="1:100" ht="1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 spans="1:100" ht="1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 spans="1:100" ht="1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 spans="1:100" ht="1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 spans="1:100" ht="1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 spans="1:100" ht="1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 spans="1:100" ht="1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 spans="1:100" ht="1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 spans="1:100" ht="1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 spans="1:100" ht="1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 spans="1:100" ht="1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 spans="1:100" ht="1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 spans="1:100" ht="1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 spans="1:100" ht="1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 spans="1:100" ht="1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 spans="1:100" ht="1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 spans="1:100" ht="1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 spans="1:100" ht="1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 spans="1:100" ht="1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 spans="1:100" ht="1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 spans="1:100" ht="1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 spans="1:100" ht="1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 spans="1:100" ht="1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 spans="1:100" ht="1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 spans="1:100" ht="1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 spans="1:100" ht="1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 spans="1:100" ht="1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 spans="1:100" ht="1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 spans="1:100" ht="1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 spans="1:100" ht="1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 spans="1:100" ht="1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 spans="1:100" ht="1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 spans="1:100" ht="1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 spans="1:100" ht="1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 spans="1:100" ht="1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 spans="1:100" ht="1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 spans="1:100" ht="1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 spans="1:100" ht="1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 spans="1:100" ht="1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 spans="1:100" ht="1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 spans="1:100" ht="1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 spans="1:100" ht="1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 spans="1:100" ht="1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 spans="1:100" ht="1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 spans="1:100" ht="1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 spans="1:100" ht="1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 spans="1:100" ht="1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 spans="1:100" ht="1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 spans="1:100" ht="1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 spans="1:100" ht="1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 spans="1:100" ht="1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 spans="1:100" ht="1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 spans="1:100" ht="1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 spans="1:100" ht="1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 spans="1:100" ht="1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 spans="1:100" ht="1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 spans="1:100" ht="1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 spans="1:100" ht="1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 spans="1:100" ht="1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 spans="1:100" ht="1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 spans="1:100" ht="1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 spans="1:100" ht="1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 spans="1:100" ht="1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 spans="1:100" ht="1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 spans="1:100" ht="1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 spans="1:100" ht="1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 spans="1:100" ht="1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 spans="1:100" ht="1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 spans="1:100" ht="1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 spans="1:100" ht="1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 spans="1:100" ht="1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 spans="1:100" ht="1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 spans="1:100" ht="1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 spans="1:100" ht="1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 spans="1:100" ht="1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 spans="1:100" ht="1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 spans="1:100" ht="1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 spans="1:100" ht="1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 spans="1:100" ht="1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 spans="1:100" ht="1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 spans="1:100" ht="1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 spans="1:100" ht="1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 spans="1:100" ht="1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 spans="1:100" ht="1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 spans="1:100" ht="1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 spans="1:100" ht="1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 spans="1:100" ht="1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 spans="1:100" ht="1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 spans="1:100" ht="1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 spans="1:100" ht="1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 spans="1:100" ht="1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 spans="1:100" ht="1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 spans="1:100" ht="1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 spans="1:100" ht="1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 spans="1:100" ht="1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 spans="1:100" ht="1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 spans="1:100" ht="1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 spans="1:100" ht="1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 spans="1:100" ht="1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 spans="1:100" ht="1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 spans="1:100" ht="1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 spans="1:100" ht="1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 spans="1:100" ht="1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 spans="1:100" ht="1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 spans="1:100" ht="1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 spans="1:100" ht="1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 spans="1:100" ht="1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 spans="1:100" ht="1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 spans="1:100" ht="1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 spans="1:100" ht="1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 spans="1:100" ht="1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 spans="1:100" ht="1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 spans="1:100" ht="1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 spans="1:100" ht="1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 spans="1:100" ht="1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 spans="1:100" ht="1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 spans="1:100" ht="1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 spans="1:100" ht="1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 spans="1:100" ht="1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 spans="1:100" ht="1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 spans="1:100" ht="1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 spans="1:100" ht="1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 spans="1:100" ht="1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 spans="1:100" ht="1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 spans="1:100" ht="1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 spans="1:100" ht="1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 spans="1:100" ht="1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 spans="1:100" ht="1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 spans="1:100" ht="1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 spans="1:100" ht="1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 spans="1:100" ht="1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 spans="1:100" ht="1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 spans="1:100" ht="1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 spans="1:100" ht="1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 spans="1:100" ht="1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 spans="1:100" ht="1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 spans="1:100" ht="1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 spans="1:100" ht="1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 spans="1:100" ht="1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 spans="1:100" ht="1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 spans="1:100" ht="1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 spans="1:100" ht="1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 spans="1:100" ht="1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 spans="1:100" ht="1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 spans="1:100" ht="1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 spans="1:100" ht="1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 spans="1:100" ht="1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 spans="1:100" ht="1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 spans="1:100" ht="1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 spans="1:100" ht="1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 spans="1:100" ht="1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 spans="1:100" ht="1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 spans="1:100" ht="1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 spans="1:100" ht="1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 spans="1:100" ht="1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 spans="1:100" ht="1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 spans="1:100" ht="1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 spans="1:100" ht="1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 spans="1:100" ht="1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 spans="1:100" ht="1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 spans="1:100" ht="1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 spans="1:100" ht="1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 spans="1:100" ht="1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 spans="1:100" ht="1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 spans="1:100" ht="1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 spans="1:100" ht="1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 spans="1:100" ht="1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 spans="1:100" ht="1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 spans="1:100" ht="1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 spans="1:100" ht="1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 spans="1:100" ht="1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 spans="1:100" ht="1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 spans="1:100" ht="1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 spans="1:100" ht="1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 spans="1:100" ht="1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 spans="1:100" ht="1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 spans="1:100" ht="1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 spans="1:100" ht="1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 spans="1:100" ht="1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 spans="1:100" ht="1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 spans="1:100" ht="1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 spans="1:100" ht="1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 spans="1:100" ht="1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 spans="1:100" ht="1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 spans="1:100" ht="1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 spans="1:100" ht="1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 spans="1:100" ht="1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 spans="1:100" ht="1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 spans="1:100" ht="1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 spans="1:100" ht="1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 spans="1:100" ht="1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</sheetData>
  <mergeCells count="2">
    <mergeCell ref="B1:H1"/>
    <mergeCell ref="B3:H3"/>
  </mergeCells>
  <conditionalFormatting sqref="H6:H15">
    <cfRule type="containsText" dxfId="2" priority="1" operator="containsText" text="Baja">
      <formula>NOT(ISERROR(SEARCH("Baja",H6)))</formula>
    </cfRule>
    <cfRule type="containsText" dxfId="1" priority="2" operator="containsText" text="Media">
      <formula>NOT(ISERROR(SEARCH("Media",H6)))</formula>
    </cfRule>
    <cfRule type="containsText" dxfId="0" priority="3" operator="containsText" text="Alta">
      <formula>NOT(ISERROR(SEARCH("Alta",H6)))</formula>
    </cfRule>
  </conditionalFormatting>
  <dataValidations count="1">
    <dataValidation type="whole" operator="greaterThan" allowBlank="1" showInputMessage="1" showErrorMessage="1" sqref="D6:D15" xr:uid="{2AC63DA5-A541-C94B-AC96-59C133FED354}">
      <formula1>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DE7C223-3A39-9B47-9A18-A8609543AADD}">
          <x14:formula1>
            <xm:f>'3_Dashboard'!$A$20:$A$29</xm:f>
          </x14:formula1>
          <xm:sqref>C6:C15</xm:sqref>
        </x14:dataValidation>
        <x14:dataValidation type="list" allowBlank="1" showInputMessage="1" showErrorMessage="1" xr:uid="{B72CDADB-4D67-C74B-B299-D3B8F97405C9}">
          <x14:formula1>
            <xm:f>'3_Dashboard'!$J$9:$J$16</xm:f>
          </x14:formula1>
          <xm:sqref>B6:B15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6780E-55CA-6A49-9101-7724BE0311DF}">
  <dimension ref="A1:FC1287"/>
  <sheetViews>
    <sheetView workbookViewId="0">
      <selection activeCell="H24" sqref="H24"/>
    </sheetView>
  </sheetViews>
  <sheetFormatPr baseColWidth="10" defaultRowHeight="16" x14ac:dyDescent="0.2"/>
  <cols>
    <col min="1" max="1" width="47" customWidth="1"/>
    <col min="2" max="2" width="25.1640625" customWidth="1"/>
    <col min="3" max="3" width="30.33203125" customWidth="1"/>
    <col min="4" max="4" width="24.83203125" customWidth="1"/>
    <col min="8" max="8" width="11.83203125" bestFit="1" customWidth="1"/>
    <col min="13" max="13" width="16" customWidth="1"/>
  </cols>
  <sheetData>
    <row r="1" spans="1:159" ht="23" x14ac:dyDescent="0.3">
      <c r="A1" s="214" t="s">
        <v>236</v>
      </c>
      <c r="B1" s="214"/>
      <c r="C1" s="214"/>
      <c r="D1" s="214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</row>
    <row r="2" spans="1:159" ht="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</row>
    <row r="3" spans="1:159" ht="17" x14ac:dyDescent="0.25">
      <c r="A3" s="215" t="s">
        <v>237</v>
      </c>
      <c r="B3" s="215"/>
      <c r="C3" s="215"/>
      <c r="D3" s="21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</row>
    <row r="4" spans="1:159" ht="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</row>
    <row r="5" spans="1:159" ht="17" x14ac:dyDescent="0.25">
      <c r="C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</row>
    <row r="6" spans="1:159" ht="17" x14ac:dyDescent="0.25">
      <c r="A6" s="168" t="s">
        <v>242</v>
      </c>
      <c r="B6" s="169" t="str">
        <f>INDEX('3_Dashboard'!J8:J16,MATCH(MAX('3_Dashboard'!L8:L16),'3_Dashboard'!L8:L16,0))</f>
        <v>Vino</v>
      </c>
      <c r="C6" s="168" t="s">
        <v>249</v>
      </c>
      <c r="D6" s="184">
        <f>MAX('3_Dashboard'!L8:L16)</f>
        <v>171.00092592592594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</row>
    <row r="7" spans="1:159" ht="17" x14ac:dyDescent="0.25">
      <c r="A7" s="168" t="s">
        <v>244</v>
      </c>
      <c r="B7" s="170" t="str">
        <f>INDEX('2_Modelo'!F4:F78, MATCH(D7, '2_Modelo'!D4:D78, 0))</f>
        <v>Miel - Italia</v>
      </c>
      <c r="C7" s="168" t="s">
        <v>243</v>
      </c>
      <c r="D7" s="184">
        <f>MAX('2_Modelo'!D4:D76)</f>
        <v>247.7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</row>
    <row r="8" spans="1:159" ht="19" customHeight="1" x14ac:dyDescent="0.25">
      <c r="A8" s="168" t="s">
        <v>245</v>
      </c>
      <c r="B8" s="171" t="str">
        <f>INDEX('2_Modelo'!N26:N35, MATCH(MAX('2_Modelo'!O26:O35), '2_Modelo'!O26:O35, 0))</f>
        <v>Francia</v>
      </c>
      <c r="C8" s="168" t="s">
        <v>241</v>
      </c>
      <c r="D8" s="184">
        <f>MAX('2_Modelo'!O26:O35)</f>
        <v>508619.83999999997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</row>
    <row r="9" spans="1:159" ht="17" customHeight="1" x14ac:dyDescent="0.25">
      <c r="A9" s="168" t="s">
        <v>240</v>
      </c>
      <c r="B9" s="170" t="str">
        <f>INDEX('3_Dashboard'!J8:J16, MATCH(MIN('3_Dashboard'!L8:L16), '3_Dashboard'!L8:L16, 0))</f>
        <v>Queso</v>
      </c>
      <c r="C9" s="168" t="s">
        <v>249</v>
      </c>
      <c r="D9" s="184">
        <f>MIN('3_Dashboard'!L8:L16)</f>
        <v>112.67018518518519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</row>
    <row r="10" spans="1:159" ht="16" customHeight="1" x14ac:dyDescent="0.45">
      <c r="A10" s="1"/>
      <c r="B10" s="142"/>
      <c r="C10" s="159"/>
      <c r="D10" s="2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</row>
    <row r="11" spans="1:159" ht="17" x14ac:dyDescent="0.25">
      <c r="A11" s="1"/>
      <c r="B11" s="148"/>
      <c r="C11" s="159"/>
      <c r="D11" s="2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</row>
    <row r="12" spans="1:159" ht="17" x14ac:dyDescent="0.25">
      <c r="A12" s="1"/>
      <c r="B12" s="1"/>
      <c r="C12" s="159"/>
      <c r="D12" s="2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</row>
    <row r="13" spans="1:159" ht="17" x14ac:dyDescent="0.25">
      <c r="A13" s="173" t="s">
        <v>238</v>
      </c>
      <c r="B13" s="1"/>
      <c r="C13" s="159"/>
      <c r="D13" s="2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</row>
    <row r="14" spans="1:159" ht="17" x14ac:dyDescent="0.25">
      <c r="A14" s="17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</row>
    <row r="15" spans="1:159" ht="17" x14ac:dyDescent="0.25">
      <c r="A15" s="174" t="s">
        <v>250</v>
      </c>
      <c r="B15" s="175"/>
      <c r="C15" s="175"/>
      <c r="D15" s="176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</row>
    <row r="16" spans="1:159" ht="17" x14ac:dyDescent="0.25">
      <c r="A16" s="177" t="s">
        <v>267</v>
      </c>
      <c r="B16" s="178"/>
      <c r="C16" s="178"/>
      <c r="D16" s="179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</row>
    <row r="17" spans="1:159" ht="17" x14ac:dyDescent="0.25">
      <c r="A17" s="177" t="s">
        <v>254</v>
      </c>
      <c r="B17" s="178"/>
      <c r="C17" s="178"/>
      <c r="D17" s="179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</row>
    <row r="18" spans="1:159" ht="17" x14ac:dyDescent="0.25">
      <c r="A18" s="177"/>
      <c r="B18" s="178"/>
      <c r="C18" s="178"/>
      <c r="D18" s="179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</row>
    <row r="19" spans="1:159" ht="17" x14ac:dyDescent="0.25">
      <c r="A19" s="180" t="s">
        <v>251</v>
      </c>
      <c r="B19" s="178"/>
      <c r="C19" s="178"/>
      <c r="D19" s="179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</row>
    <row r="20" spans="1:159" ht="17" x14ac:dyDescent="0.25">
      <c r="A20" s="177" t="s">
        <v>255</v>
      </c>
      <c r="B20" s="178"/>
      <c r="C20" s="178"/>
      <c r="D20" s="179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</row>
    <row r="21" spans="1:159" ht="17" x14ac:dyDescent="0.25">
      <c r="A21" s="177" t="s">
        <v>256</v>
      </c>
      <c r="B21" s="178"/>
      <c r="C21" s="178"/>
      <c r="D21" s="179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</row>
    <row r="22" spans="1:159" ht="17" x14ac:dyDescent="0.25">
      <c r="A22" s="177" t="s">
        <v>257</v>
      </c>
      <c r="B22" s="178"/>
      <c r="C22" s="178"/>
      <c r="D22" s="179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</row>
    <row r="23" spans="1:159" ht="17" x14ac:dyDescent="0.25">
      <c r="A23" s="177" t="s">
        <v>258</v>
      </c>
      <c r="B23" s="178"/>
      <c r="C23" s="178"/>
      <c r="D23" s="17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</row>
    <row r="24" spans="1:159" ht="17" x14ac:dyDescent="0.25">
      <c r="A24" s="177"/>
      <c r="B24" s="178"/>
      <c r="C24" s="178"/>
      <c r="D24" s="17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</row>
    <row r="25" spans="1:159" ht="17" x14ac:dyDescent="0.25">
      <c r="A25" s="180" t="s">
        <v>252</v>
      </c>
      <c r="B25" s="178"/>
      <c r="C25" s="178"/>
      <c r="D25" s="17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</row>
    <row r="26" spans="1:159" ht="17" x14ac:dyDescent="0.25">
      <c r="A26" s="177" t="s">
        <v>259</v>
      </c>
      <c r="B26" s="178"/>
      <c r="C26" s="178"/>
      <c r="D26" s="179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</row>
    <row r="27" spans="1:159" ht="17" x14ac:dyDescent="0.25">
      <c r="A27" s="177" t="s">
        <v>260</v>
      </c>
      <c r="B27" s="178"/>
      <c r="C27" s="178"/>
      <c r="D27" s="17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</row>
    <row r="28" spans="1:159" ht="17" x14ac:dyDescent="0.25">
      <c r="A28" s="177" t="s">
        <v>261</v>
      </c>
      <c r="B28" s="178"/>
      <c r="C28" s="178"/>
      <c r="D28" s="179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</row>
    <row r="29" spans="1:159" ht="17" x14ac:dyDescent="0.25">
      <c r="A29" s="177"/>
      <c r="B29" s="178"/>
      <c r="C29" s="178"/>
      <c r="D29" s="179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</row>
    <row r="30" spans="1:159" ht="17" x14ac:dyDescent="0.25">
      <c r="A30" s="180" t="s">
        <v>253</v>
      </c>
      <c r="B30" s="178"/>
      <c r="C30" s="178"/>
      <c r="D30" s="179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</row>
    <row r="31" spans="1:159" ht="17" x14ac:dyDescent="0.25">
      <c r="A31" s="177" t="s">
        <v>264</v>
      </c>
      <c r="B31" s="178"/>
      <c r="C31" s="178"/>
      <c r="D31" s="179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</row>
    <row r="32" spans="1:159" ht="17" x14ac:dyDescent="0.25">
      <c r="A32" s="177" t="s">
        <v>266</v>
      </c>
      <c r="B32" s="178"/>
      <c r="C32" s="178"/>
      <c r="D32" s="179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</row>
    <row r="33" spans="1:159" ht="17" x14ac:dyDescent="0.25">
      <c r="A33" s="177" t="s">
        <v>263</v>
      </c>
      <c r="B33" s="178"/>
      <c r="C33" s="178"/>
      <c r="D33" s="179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</row>
    <row r="34" spans="1:159" ht="17" x14ac:dyDescent="0.25">
      <c r="A34" s="177" t="s">
        <v>265</v>
      </c>
      <c r="B34" s="178"/>
      <c r="C34" s="178"/>
      <c r="D34" s="179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</row>
    <row r="35" spans="1:159" ht="17" x14ac:dyDescent="0.25">
      <c r="A35" s="181" t="s">
        <v>262</v>
      </c>
      <c r="B35" s="182"/>
      <c r="C35" s="182"/>
      <c r="D35" s="18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</row>
    <row r="36" spans="1:159" ht="1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</row>
    <row r="37" spans="1:159" ht="1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</row>
    <row r="38" spans="1:159" ht="1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</row>
    <row r="39" spans="1:159" ht="1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</row>
    <row r="40" spans="1:159" ht="1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</row>
    <row r="41" spans="1:159" ht="1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</row>
    <row r="42" spans="1:159" ht="1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</row>
    <row r="43" spans="1:159" ht="1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</row>
    <row r="44" spans="1:159" ht="1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</row>
    <row r="45" spans="1:159" ht="1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</row>
    <row r="46" spans="1:159" ht="1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</row>
    <row r="47" spans="1:159" ht="1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</row>
    <row r="48" spans="1:159" ht="1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</row>
    <row r="49" spans="1:159" ht="1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</row>
    <row r="50" spans="1:159" ht="1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</row>
    <row r="51" spans="1:159" ht="1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</row>
    <row r="52" spans="1:159" ht="1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</row>
    <row r="53" spans="1:159" ht="1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</row>
    <row r="54" spans="1:159" ht="1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</row>
    <row r="55" spans="1:159" ht="1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</row>
    <row r="56" spans="1:159" ht="1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</row>
    <row r="57" spans="1:159" ht="1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</row>
    <row r="58" spans="1:159" ht="1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</row>
    <row r="59" spans="1:159" ht="1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</row>
    <row r="60" spans="1:159" ht="1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</row>
    <row r="61" spans="1:159" ht="1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</row>
    <row r="62" spans="1:159" ht="1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</row>
    <row r="63" spans="1:159" ht="1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</row>
    <row r="64" spans="1:159" ht="1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</row>
    <row r="65" spans="1:159" ht="1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</row>
    <row r="66" spans="1:159" ht="1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</row>
    <row r="67" spans="1:159" ht="1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</row>
    <row r="68" spans="1:159" ht="1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</row>
    <row r="69" spans="1:159" ht="1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</row>
    <row r="70" spans="1:159" ht="1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</row>
    <row r="71" spans="1:159" ht="1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</row>
    <row r="72" spans="1:159" ht="1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</row>
    <row r="73" spans="1:159" ht="1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</row>
    <row r="74" spans="1:159" ht="1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</row>
    <row r="75" spans="1:159" ht="1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</row>
    <row r="76" spans="1:159" ht="1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</row>
    <row r="77" spans="1:159" ht="1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</row>
    <row r="78" spans="1:159" ht="1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</row>
    <row r="79" spans="1:159" ht="1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</row>
    <row r="80" spans="1:159" ht="1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</row>
    <row r="81" spans="1:159" ht="1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</row>
    <row r="82" spans="1:159" ht="1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</row>
    <row r="83" spans="1:159" ht="1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</row>
    <row r="84" spans="1:159" ht="1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</row>
    <row r="85" spans="1:159" ht="1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</row>
    <row r="86" spans="1:159" ht="1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</row>
    <row r="87" spans="1:159" ht="1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</row>
    <row r="88" spans="1:159" ht="1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</row>
    <row r="89" spans="1:159" ht="1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</row>
    <row r="90" spans="1:159" ht="1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</row>
    <row r="91" spans="1:159" ht="1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</row>
    <row r="92" spans="1:159" ht="1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</row>
    <row r="93" spans="1:159" ht="1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</row>
    <row r="94" spans="1:159" ht="1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</row>
    <row r="95" spans="1:159" ht="1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</row>
    <row r="96" spans="1:159" ht="1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</row>
    <row r="97" spans="1:159" ht="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</row>
    <row r="98" spans="1:159" ht="1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</row>
    <row r="99" spans="1:159" ht="1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</row>
    <row r="100" spans="1:159" ht="1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</row>
    <row r="101" spans="1:159" ht="1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</row>
    <row r="102" spans="1:159" ht="1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</row>
    <row r="103" spans="1:159" ht="1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</row>
    <row r="104" spans="1:159" ht="1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</row>
    <row r="105" spans="1:159" ht="1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</row>
    <row r="106" spans="1:159" ht="1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</row>
    <row r="107" spans="1:159" ht="1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</row>
    <row r="108" spans="1:159" ht="1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</row>
    <row r="109" spans="1:159" ht="1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</row>
    <row r="110" spans="1:159" ht="1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</row>
    <row r="111" spans="1:159" ht="1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</row>
    <row r="112" spans="1:159" ht="1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</row>
    <row r="113" spans="1:159" ht="1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</row>
    <row r="114" spans="1:159" ht="1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</row>
    <row r="115" spans="1:159" ht="1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</row>
    <row r="116" spans="1:159" ht="1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</row>
    <row r="117" spans="1:159" ht="1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</row>
    <row r="118" spans="1:159" ht="1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</row>
    <row r="119" spans="1:159" ht="1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</row>
    <row r="120" spans="1:159" ht="1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</row>
    <row r="121" spans="1:159" ht="1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</row>
    <row r="122" spans="1:159" ht="1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</row>
    <row r="123" spans="1:159" ht="1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</row>
    <row r="124" spans="1:159" ht="1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</row>
    <row r="125" spans="1:159" ht="1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</row>
    <row r="126" spans="1:159" ht="1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</row>
    <row r="127" spans="1:159" ht="1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</row>
    <row r="128" spans="1:159" ht="1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</row>
    <row r="129" spans="1:159" ht="1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</row>
    <row r="130" spans="1:159" ht="1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</row>
    <row r="131" spans="1:159" ht="1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</row>
    <row r="132" spans="1:159" ht="1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</row>
    <row r="133" spans="1:159" ht="1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</row>
    <row r="134" spans="1:159" ht="1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</row>
    <row r="135" spans="1:159" ht="1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</row>
    <row r="136" spans="1:159" ht="1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</row>
    <row r="137" spans="1:159" ht="1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</row>
    <row r="138" spans="1:159" ht="1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</row>
    <row r="139" spans="1:159" ht="1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</row>
    <row r="140" spans="1:159" ht="1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</row>
    <row r="141" spans="1:159" ht="1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</row>
    <row r="142" spans="1:159" ht="1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</row>
    <row r="143" spans="1:159" ht="1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</row>
    <row r="144" spans="1:159" ht="1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</row>
    <row r="145" spans="1:159" ht="1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</row>
    <row r="146" spans="1:159" ht="1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</row>
    <row r="147" spans="1:159" ht="1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</row>
    <row r="148" spans="1:159" ht="1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</row>
    <row r="149" spans="1:159" ht="1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</row>
    <row r="150" spans="1:159" ht="1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</row>
    <row r="151" spans="1:159" ht="1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</row>
    <row r="152" spans="1:159" ht="1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</row>
    <row r="153" spans="1:159" ht="1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</row>
    <row r="154" spans="1:159" ht="1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</row>
    <row r="155" spans="1:159" ht="1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</row>
    <row r="156" spans="1:159" ht="1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</row>
    <row r="157" spans="1:159" ht="1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</row>
    <row r="158" spans="1:159" ht="1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</row>
    <row r="159" spans="1:159" ht="1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</row>
    <row r="160" spans="1:159" ht="1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</row>
    <row r="161" spans="1:159" ht="1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</row>
    <row r="162" spans="1:159" ht="1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</row>
    <row r="163" spans="1:159" ht="1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</row>
    <row r="164" spans="1:159" ht="1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</row>
    <row r="165" spans="1:159" ht="1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</row>
    <row r="166" spans="1:159" ht="1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</row>
    <row r="167" spans="1:159" ht="1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</row>
    <row r="168" spans="1:159" ht="1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</row>
    <row r="169" spans="1:159" ht="1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</row>
    <row r="170" spans="1:159" ht="1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</row>
    <row r="171" spans="1:159" ht="1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</row>
    <row r="172" spans="1:159" ht="1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</row>
    <row r="173" spans="1:159" ht="1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</row>
    <row r="174" spans="1:159" ht="1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</row>
    <row r="175" spans="1:159" ht="1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</row>
    <row r="176" spans="1:159" ht="1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</row>
    <row r="177" spans="1:159" ht="1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</row>
    <row r="178" spans="1:159" ht="1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</row>
    <row r="179" spans="1:159" ht="1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</row>
    <row r="180" spans="1:159" ht="1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</row>
    <row r="181" spans="1:159" ht="1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</row>
    <row r="182" spans="1:159" ht="1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</row>
    <row r="183" spans="1:159" ht="1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</row>
    <row r="184" spans="1:159" ht="1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</row>
    <row r="185" spans="1:159" ht="1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</row>
    <row r="186" spans="1:159" ht="1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</row>
    <row r="187" spans="1:159" ht="1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</row>
    <row r="188" spans="1:159" ht="1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</row>
    <row r="189" spans="1:159" ht="1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</row>
    <row r="190" spans="1:159" ht="1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</row>
    <row r="191" spans="1:159" ht="1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</row>
    <row r="192" spans="1:159" ht="1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</row>
    <row r="193" spans="1:159" ht="1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</row>
    <row r="194" spans="1:159" ht="1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</row>
    <row r="195" spans="1:159" ht="1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</row>
    <row r="196" spans="1:159" ht="1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</row>
    <row r="197" spans="1:159" ht="1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</row>
    <row r="198" spans="1:159" ht="1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</row>
    <row r="199" spans="1:159" ht="1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</row>
    <row r="200" spans="1:159" ht="1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</row>
    <row r="201" spans="1:159" ht="1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</row>
    <row r="202" spans="1:159" ht="1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</row>
    <row r="203" spans="1:159" ht="1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</row>
    <row r="204" spans="1:159" ht="1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</row>
    <row r="205" spans="1:159" ht="1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</row>
    <row r="206" spans="1:159" ht="1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</row>
    <row r="207" spans="1:159" ht="1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</row>
    <row r="208" spans="1:159" ht="1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</row>
    <row r="209" spans="1:159" ht="1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</row>
    <row r="210" spans="1:159" ht="1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</row>
    <row r="211" spans="1:159" ht="1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</row>
    <row r="212" spans="1:159" ht="1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</row>
    <row r="213" spans="1:159" ht="1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</row>
    <row r="214" spans="1:159" ht="1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</row>
    <row r="215" spans="1:159" ht="1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</row>
    <row r="216" spans="1:159" ht="1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</row>
    <row r="217" spans="1:159" ht="1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</row>
    <row r="218" spans="1:159" ht="1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</row>
    <row r="219" spans="1:159" ht="1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</row>
    <row r="220" spans="1:159" ht="1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</row>
    <row r="221" spans="1:159" ht="1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</row>
    <row r="222" spans="1:159" ht="1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</row>
    <row r="223" spans="1:159" ht="1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</row>
    <row r="224" spans="1:159" ht="1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</row>
    <row r="225" spans="1:159" ht="1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</row>
    <row r="226" spans="1:159" ht="1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</row>
    <row r="227" spans="1:159" ht="1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</row>
    <row r="228" spans="1:159" ht="1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</row>
    <row r="229" spans="1:159" ht="1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</row>
    <row r="230" spans="1:159" ht="1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</row>
    <row r="231" spans="1:159" ht="1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</row>
    <row r="232" spans="1:159" ht="1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</row>
    <row r="233" spans="1:159" ht="1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</row>
    <row r="234" spans="1:159" ht="1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</row>
    <row r="235" spans="1:159" ht="1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</row>
    <row r="236" spans="1:159" ht="1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</row>
    <row r="237" spans="1:159" ht="1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</row>
    <row r="238" spans="1:159" ht="1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</row>
    <row r="239" spans="1:159" ht="1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</row>
    <row r="240" spans="1:159" ht="1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</row>
    <row r="241" spans="1:159" ht="1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</row>
    <row r="242" spans="1:159" ht="1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</row>
    <row r="243" spans="1:159" ht="1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</row>
    <row r="244" spans="1:159" ht="1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</row>
    <row r="245" spans="1:159" ht="1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</row>
    <row r="246" spans="1:159" ht="1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</row>
    <row r="247" spans="1:159" ht="1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</row>
    <row r="248" spans="1:159" ht="1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</row>
    <row r="249" spans="1:159" ht="1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</row>
    <row r="250" spans="1:159" ht="1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</row>
    <row r="251" spans="1:159" ht="1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</row>
    <row r="252" spans="1:159" ht="1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</row>
    <row r="253" spans="1:159" ht="1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</row>
    <row r="254" spans="1:159" ht="1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</row>
    <row r="255" spans="1:159" ht="1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</row>
    <row r="256" spans="1:159" ht="1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</row>
    <row r="257" spans="1:159" ht="1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</row>
    <row r="258" spans="1:159" ht="1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</row>
    <row r="259" spans="1:159" ht="1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</row>
    <row r="260" spans="1:159" ht="1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</row>
    <row r="261" spans="1:159" ht="1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</row>
    <row r="262" spans="1:159" ht="1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</row>
    <row r="263" spans="1:159" ht="1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</row>
    <row r="264" spans="1:159" ht="1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</row>
    <row r="265" spans="1:159" ht="1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</row>
    <row r="266" spans="1:159" ht="1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</row>
    <row r="267" spans="1:159" ht="1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</row>
    <row r="268" spans="1:159" ht="1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</row>
    <row r="269" spans="1:159" ht="1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</row>
    <row r="270" spans="1:159" ht="1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</row>
    <row r="271" spans="1:159" ht="1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</row>
    <row r="272" spans="1:159" ht="1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</row>
    <row r="273" spans="1:159" ht="1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</row>
    <row r="274" spans="1:159" ht="1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</row>
    <row r="275" spans="1:159" ht="1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</row>
    <row r="276" spans="1:159" ht="1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</row>
    <row r="277" spans="1:159" ht="1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</row>
    <row r="278" spans="1:159" ht="1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</row>
    <row r="279" spans="1:159" ht="1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</row>
    <row r="280" spans="1:159" ht="1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</row>
    <row r="281" spans="1:159" ht="1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</row>
    <row r="282" spans="1:159" ht="1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</row>
    <row r="283" spans="1:159" ht="1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</row>
    <row r="284" spans="1:159" ht="1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</row>
    <row r="285" spans="1:159" ht="1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</row>
    <row r="286" spans="1:159" ht="1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</row>
    <row r="287" spans="1:159" ht="1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</row>
    <row r="288" spans="1:159" ht="1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</row>
    <row r="289" spans="1:159" ht="1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</row>
    <row r="290" spans="1:159" ht="1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</row>
    <row r="291" spans="1:159" ht="1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</row>
    <row r="292" spans="1:159" ht="1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</row>
    <row r="293" spans="1:159" ht="1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</row>
    <row r="294" spans="1:159" ht="1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</row>
    <row r="295" spans="1:159" ht="1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</row>
    <row r="296" spans="1:159" ht="1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</row>
    <row r="297" spans="1:159" ht="1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</row>
    <row r="298" spans="1:159" ht="1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</row>
    <row r="299" spans="1:159" ht="1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</row>
    <row r="300" spans="1:159" ht="1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</row>
    <row r="301" spans="1:159" ht="1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</row>
    <row r="302" spans="1:159" ht="1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</row>
    <row r="303" spans="1:159" ht="1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</row>
    <row r="304" spans="1:159" ht="1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</row>
    <row r="305" spans="1:159" ht="1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</row>
    <row r="306" spans="1:159" ht="1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</row>
    <row r="307" spans="1:159" ht="1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</row>
    <row r="308" spans="1:159" ht="1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</row>
    <row r="309" spans="1:159" ht="1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</row>
    <row r="310" spans="1:159" ht="1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</row>
    <row r="311" spans="1:159" ht="1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</row>
    <row r="312" spans="1:159" ht="1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</row>
    <row r="313" spans="1:159" ht="1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</row>
    <row r="314" spans="1:159" ht="1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</row>
    <row r="315" spans="1:159" ht="1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</row>
    <row r="316" spans="1:159" ht="1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</row>
    <row r="317" spans="1:159" ht="1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</row>
    <row r="318" spans="1:159" ht="1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</row>
    <row r="319" spans="1:159" ht="1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</row>
    <row r="320" spans="1:159" ht="1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</row>
    <row r="321" spans="1:159" ht="1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</row>
    <row r="322" spans="1:159" ht="1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</row>
    <row r="323" spans="1:159" ht="1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</row>
    <row r="324" spans="1:159" ht="1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</row>
    <row r="325" spans="1:159" ht="1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</row>
    <row r="326" spans="1:159" ht="1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</row>
    <row r="327" spans="1:159" ht="1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</row>
    <row r="328" spans="1:159" ht="1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</row>
    <row r="329" spans="1:159" ht="1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</row>
    <row r="330" spans="1:159" ht="1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</row>
    <row r="331" spans="1:159" ht="1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</row>
    <row r="332" spans="1:159" ht="1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</row>
    <row r="333" spans="1:159" ht="1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</row>
    <row r="334" spans="1:159" ht="1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</row>
    <row r="335" spans="1:159" ht="1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</row>
    <row r="336" spans="1:159" ht="1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</row>
    <row r="337" spans="1:159" ht="1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</row>
    <row r="338" spans="1:159" ht="1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</row>
    <row r="339" spans="1:159" ht="1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</row>
    <row r="340" spans="1:159" ht="1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</row>
    <row r="341" spans="1:159" ht="1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</row>
    <row r="342" spans="1:159" ht="1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</row>
    <row r="343" spans="1:159" ht="1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</row>
    <row r="344" spans="1:159" ht="1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</row>
    <row r="345" spans="1:159" ht="1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</row>
    <row r="346" spans="1:159" ht="1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</row>
    <row r="347" spans="1:159" ht="1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</row>
    <row r="348" spans="1:159" ht="1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</row>
    <row r="349" spans="1:159" ht="1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</row>
    <row r="350" spans="1:159" ht="1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</row>
    <row r="351" spans="1:159" ht="1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</row>
    <row r="352" spans="1:159" ht="1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</row>
    <row r="353" spans="1:159" ht="1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</row>
    <row r="354" spans="1:159" ht="1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</row>
    <row r="355" spans="1:159" ht="1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</row>
    <row r="356" spans="1:159" ht="1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</row>
    <row r="357" spans="1:159" ht="1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</row>
    <row r="358" spans="1:159" ht="1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</row>
    <row r="359" spans="1:159" ht="1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</row>
    <row r="360" spans="1:159" ht="1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</row>
    <row r="361" spans="1:159" ht="1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</row>
    <row r="362" spans="1:159" ht="1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</row>
    <row r="363" spans="1:159" ht="1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</row>
    <row r="364" spans="1:159" ht="1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</row>
    <row r="365" spans="1:159" ht="1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</row>
    <row r="366" spans="1:159" ht="1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</row>
    <row r="367" spans="1:159" ht="1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</row>
    <row r="368" spans="1:159" ht="1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</row>
    <row r="369" spans="1:159" ht="1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</row>
    <row r="370" spans="1:159" ht="1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</row>
    <row r="371" spans="1:159" ht="1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</row>
    <row r="372" spans="1:159" ht="1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</row>
    <row r="373" spans="1:159" ht="1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</row>
    <row r="374" spans="1:159" ht="1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</row>
    <row r="375" spans="1:159" ht="1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</row>
    <row r="376" spans="1:159" ht="1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</row>
    <row r="377" spans="1:159" ht="1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</row>
    <row r="378" spans="1:159" ht="1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</row>
    <row r="379" spans="1:159" ht="1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</row>
    <row r="380" spans="1:159" ht="1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</row>
    <row r="381" spans="1:159" ht="1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</row>
    <row r="382" spans="1:159" ht="1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</row>
    <row r="383" spans="1:159" ht="1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</row>
    <row r="384" spans="1:159" ht="1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</row>
    <row r="385" spans="1:159" ht="1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</row>
    <row r="386" spans="1:159" ht="1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</row>
    <row r="387" spans="1:159" ht="1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</row>
    <row r="388" spans="1:159" ht="1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</row>
    <row r="389" spans="1:159" ht="1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</row>
    <row r="390" spans="1:159" ht="1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</row>
    <row r="391" spans="1:159" ht="1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</row>
    <row r="392" spans="1:159" ht="1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</row>
    <row r="393" spans="1:159" ht="1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</row>
    <row r="394" spans="1:159" ht="1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</row>
    <row r="395" spans="1:159" ht="1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</row>
    <row r="396" spans="1:159" ht="1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</row>
    <row r="397" spans="1:159" ht="1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</row>
    <row r="398" spans="1:159" ht="1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</row>
    <row r="399" spans="1:159" ht="1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</row>
    <row r="400" spans="1:159" ht="1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</row>
    <row r="401" spans="1:159" ht="1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</row>
    <row r="402" spans="1:159" ht="1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</row>
    <row r="403" spans="1:159" ht="1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</row>
    <row r="404" spans="1:159" ht="1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</row>
    <row r="405" spans="1:159" ht="1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</row>
    <row r="406" spans="1:159" ht="1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</row>
    <row r="407" spans="1:159" ht="1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</row>
    <row r="408" spans="1:159" ht="1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</row>
    <row r="409" spans="1:159" ht="1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</row>
    <row r="410" spans="1:159" ht="1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</row>
    <row r="411" spans="1:159" ht="1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</row>
    <row r="412" spans="1:159" ht="1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</row>
    <row r="413" spans="1:159" ht="1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</row>
    <row r="414" spans="1:159" ht="1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</row>
    <row r="415" spans="1:159" ht="1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</row>
    <row r="416" spans="1:159" ht="1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</row>
    <row r="417" spans="1:159" ht="1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</row>
    <row r="418" spans="1:159" ht="1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</row>
    <row r="419" spans="1:159" ht="1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</row>
    <row r="420" spans="1:159" ht="1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</row>
    <row r="421" spans="1:159" ht="1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</row>
    <row r="422" spans="1:159" ht="1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</row>
    <row r="423" spans="1:159" ht="1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</row>
    <row r="424" spans="1:159" ht="1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</row>
    <row r="425" spans="1:159" ht="1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</row>
    <row r="426" spans="1:159" ht="1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</row>
    <row r="427" spans="1:159" ht="1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</row>
    <row r="428" spans="1:159" ht="1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</row>
    <row r="429" spans="1:159" ht="1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</row>
    <row r="430" spans="1:159" ht="1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</row>
    <row r="431" spans="1:159" ht="1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</row>
    <row r="432" spans="1:159" ht="1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</row>
    <row r="433" spans="1:159" ht="1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</row>
    <row r="434" spans="1:159" ht="1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</row>
    <row r="435" spans="1:159" ht="1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</row>
    <row r="436" spans="1:159" ht="1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</row>
    <row r="437" spans="1:159" ht="1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</row>
    <row r="438" spans="1:159" ht="1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</row>
    <row r="439" spans="1:159" ht="1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</row>
    <row r="440" spans="1:159" ht="1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</row>
    <row r="441" spans="1:159" ht="1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</row>
    <row r="442" spans="1:159" ht="1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</row>
    <row r="443" spans="1:159" ht="1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</row>
    <row r="444" spans="1:159" ht="1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</row>
    <row r="445" spans="1:159" ht="1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</row>
    <row r="446" spans="1:159" ht="1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</row>
    <row r="447" spans="1:159" ht="1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</row>
    <row r="448" spans="1:159" ht="1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</row>
    <row r="449" spans="1:159" ht="1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</row>
    <row r="450" spans="1:159" ht="1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</row>
    <row r="451" spans="1:159" ht="1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</row>
    <row r="452" spans="1:159" ht="1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</row>
    <row r="453" spans="1:159" ht="1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</row>
    <row r="454" spans="1:159" ht="1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</row>
    <row r="455" spans="1:159" ht="1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</row>
    <row r="456" spans="1:159" ht="1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</row>
    <row r="457" spans="1:159" ht="1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</row>
    <row r="458" spans="1:159" ht="1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</row>
    <row r="459" spans="1:159" ht="1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</row>
    <row r="460" spans="1:159" ht="1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</row>
    <row r="461" spans="1:159" ht="1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</row>
    <row r="462" spans="1:159" ht="1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</row>
    <row r="463" spans="1:159" ht="1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</row>
    <row r="464" spans="1:159" ht="1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</row>
    <row r="465" spans="1:159" ht="1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</row>
    <row r="466" spans="1:159" ht="1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</row>
    <row r="467" spans="1:159" ht="1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</row>
    <row r="468" spans="1:159" ht="1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</row>
    <row r="469" spans="1:159" ht="1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</row>
    <row r="470" spans="1:159" ht="1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</row>
    <row r="471" spans="1:159" ht="1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</row>
    <row r="472" spans="1:159" ht="1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</row>
    <row r="473" spans="1:159" ht="1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</row>
    <row r="474" spans="1:159" ht="1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</row>
    <row r="475" spans="1:159" ht="1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</row>
    <row r="476" spans="1:159" ht="1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</row>
    <row r="477" spans="1:159" ht="1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</row>
    <row r="478" spans="1:159" ht="1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</row>
    <row r="479" spans="1:159" ht="1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</row>
    <row r="480" spans="1:159" ht="1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</row>
    <row r="481" spans="1:159" ht="1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</row>
    <row r="482" spans="1:159" ht="1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</row>
    <row r="483" spans="1:159" ht="1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</row>
    <row r="484" spans="1:159" ht="1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</row>
    <row r="485" spans="1:159" ht="1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</row>
    <row r="486" spans="1:159" ht="1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</row>
    <row r="487" spans="1:159" ht="1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</row>
    <row r="488" spans="1:159" ht="1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</row>
    <row r="489" spans="1:159" ht="1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</row>
    <row r="490" spans="1:159" ht="1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</row>
    <row r="491" spans="1:159" ht="1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</row>
    <row r="492" spans="1:159" ht="1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</row>
    <row r="493" spans="1:159" ht="1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</row>
    <row r="494" spans="1:159" ht="1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</row>
    <row r="495" spans="1:159" ht="1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</row>
    <row r="496" spans="1:159" ht="1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</row>
    <row r="497" spans="1:159" ht="1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</row>
    <row r="498" spans="1:159" ht="1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</row>
    <row r="499" spans="1:159" ht="1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</row>
    <row r="500" spans="1:159" ht="1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</row>
    <row r="501" spans="1:159" ht="1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</row>
    <row r="502" spans="1:159" ht="1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</row>
    <row r="503" spans="1:159" ht="1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</row>
    <row r="504" spans="1:159" ht="1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</row>
    <row r="505" spans="1:159" ht="1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</row>
    <row r="506" spans="1:159" ht="1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</row>
    <row r="507" spans="1:159" ht="1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</row>
    <row r="508" spans="1:159" ht="1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</row>
    <row r="509" spans="1:159" ht="1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</row>
    <row r="510" spans="1:159" ht="1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</row>
    <row r="511" spans="1:159" ht="1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</row>
    <row r="512" spans="1:159" ht="1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</row>
    <row r="513" spans="1:159" ht="1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</row>
    <row r="514" spans="1:159" ht="1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</row>
    <row r="515" spans="1:159" ht="1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</row>
    <row r="516" spans="1:159" ht="1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</row>
    <row r="517" spans="1:159" ht="1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</row>
    <row r="518" spans="1:159" ht="1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</row>
    <row r="519" spans="1:159" ht="1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</row>
    <row r="520" spans="1:159" ht="1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</row>
    <row r="521" spans="1:159" ht="1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</row>
    <row r="522" spans="1:159" ht="1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</row>
    <row r="523" spans="1:159" ht="1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</row>
    <row r="524" spans="1:159" ht="1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</row>
    <row r="525" spans="1:159" ht="1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</row>
    <row r="526" spans="1:159" ht="1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</row>
    <row r="527" spans="1:159" ht="1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</row>
    <row r="528" spans="1:159" ht="1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</row>
    <row r="529" spans="1:159" ht="1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</row>
    <row r="530" spans="1:159" ht="1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</row>
    <row r="531" spans="1:159" ht="1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</row>
    <row r="532" spans="1:159" ht="1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</row>
    <row r="533" spans="1:159" ht="1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</row>
    <row r="534" spans="1:159" ht="1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</row>
    <row r="535" spans="1:159" ht="1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</row>
    <row r="536" spans="1:159" ht="1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</row>
    <row r="537" spans="1:159" ht="1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</row>
    <row r="538" spans="1:159" ht="1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</row>
    <row r="539" spans="1:159" ht="1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</row>
    <row r="540" spans="1:159" ht="1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</row>
    <row r="541" spans="1:159" ht="1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</row>
    <row r="542" spans="1:159" ht="1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</row>
    <row r="543" spans="1:159" ht="1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</row>
    <row r="544" spans="1:159" ht="1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</row>
    <row r="545" spans="1:159" ht="1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</row>
    <row r="546" spans="1:159" ht="1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</row>
    <row r="547" spans="1:159" ht="1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</row>
    <row r="548" spans="1:159" ht="1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</row>
    <row r="549" spans="1:159" ht="1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</row>
    <row r="550" spans="1:159" ht="1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</row>
    <row r="551" spans="1:159" ht="1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</row>
    <row r="552" spans="1:159" ht="1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</row>
    <row r="553" spans="1:159" ht="1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</row>
    <row r="554" spans="1:159" ht="1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</row>
    <row r="555" spans="1:159" ht="1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</row>
    <row r="556" spans="1:159" ht="1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</row>
    <row r="557" spans="1:159" ht="1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</row>
    <row r="558" spans="1:159" ht="1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</row>
    <row r="559" spans="1:159" ht="1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</row>
    <row r="560" spans="1:159" ht="1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</row>
    <row r="561" spans="1:159" ht="1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</row>
    <row r="562" spans="1:159" ht="1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</row>
    <row r="563" spans="1:159" ht="1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</row>
    <row r="564" spans="1:159" ht="1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</row>
    <row r="565" spans="1:159" ht="1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</row>
    <row r="566" spans="1:159" ht="1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</row>
    <row r="567" spans="1:159" ht="1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</row>
    <row r="568" spans="1:159" ht="1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</row>
    <row r="569" spans="1:159" ht="1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</row>
    <row r="570" spans="1:159" ht="1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</row>
    <row r="571" spans="1:159" ht="1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</row>
    <row r="572" spans="1:159" ht="1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</row>
    <row r="573" spans="1:159" ht="1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</row>
    <row r="574" spans="1:159" ht="1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</row>
    <row r="575" spans="1:159" ht="1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</row>
    <row r="576" spans="1:159" ht="1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</row>
    <row r="577" spans="1:159" ht="1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</row>
    <row r="578" spans="1:159" ht="1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</row>
    <row r="579" spans="1:159" ht="1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</row>
    <row r="580" spans="1:159" ht="1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</row>
    <row r="581" spans="1:159" ht="1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</row>
    <row r="582" spans="1:159" ht="1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</row>
    <row r="583" spans="1:159" ht="1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</row>
    <row r="584" spans="1:159" ht="1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</row>
    <row r="585" spans="1:159" ht="1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</row>
    <row r="586" spans="1:159" ht="1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</row>
    <row r="587" spans="1:159" ht="1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</row>
    <row r="588" spans="1:159" ht="1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</row>
    <row r="589" spans="1:159" ht="1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</row>
    <row r="590" spans="1:159" ht="1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</row>
    <row r="591" spans="1:159" ht="1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</row>
    <row r="592" spans="1:159" ht="1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</row>
    <row r="593" spans="1:159" ht="1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</row>
    <row r="594" spans="1:159" ht="1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</row>
    <row r="595" spans="1:159" ht="1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</row>
    <row r="596" spans="1:159" ht="1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</row>
    <row r="597" spans="1:159" ht="1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</row>
    <row r="598" spans="1:159" ht="1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</row>
    <row r="599" spans="1:159" ht="1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</row>
    <row r="600" spans="1:159" ht="1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</row>
    <row r="601" spans="1:159" ht="1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</row>
    <row r="602" spans="1:159" ht="1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</row>
    <row r="603" spans="1:159" ht="1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</row>
    <row r="604" spans="1:159" ht="1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</row>
    <row r="605" spans="1:159" ht="1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</row>
    <row r="606" spans="1:159" ht="1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</row>
    <row r="607" spans="1:159" ht="1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</row>
    <row r="608" spans="1:159" ht="1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</row>
    <row r="609" spans="1:159" ht="1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</row>
    <row r="610" spans="1:159" ht="1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</row>
    <row r="611" spans="1:159" ht="1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</row>
    <row r="612" spans="1:159" ht="1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</row>
    <row r="613" spans="1:159" ht="1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</row>
    <row r="614" spans="1:159" ht="1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</row>
    <row r="615" spans="1:159" ht="1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</row>
    <row r="616" spans="1:159" ht="1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</row>
    <row r="617" spans="1:159" ht="1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</row>
    <row r="618" spans="1:159" ht="1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</row>
    <row r="619" spans="1:159" ht="1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</row>
    <row r="620" spans="1:159" ht="1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</row>
    <row r="621" spans="1:159" ht="1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</row>
    <row r="622" spans="1:159" ht="1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</row>
    <row r="623" spans="1:159" ht="1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</row>
    <row r="624" spans="1:159" ht="1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</row>
    <row r="625" spans="1:159" ht="1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</row>
    <row r="626" spans="1:159" ht="1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</row>
    <row r="627" spans="1:159" ht="1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</row>
    <row r="628" spans="1:159" ht="1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</row>
    <row r="629" spans="1:159" ht="1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</row>
    <row r="630" spans="1:159" ht="1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</row>
    <row r="631" spans="1:159" ht="1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</row>
    <row r="632" spans="1:159" ht="1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</row>
    <row r="633" spans="1:159" ht="1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</row>
    <row r="634" spans="1:159" ht="1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</row>
    <row r="635" spans="1:159" ht="1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</row>
    <row r="636" spans="1:159" ht="1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</row>
    <row r="637" spans="1:159" ht="1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</row>
    <row r="638" spans="1:159" ht="1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</row>
    <row r="639" spans="1:159" ht="1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</row>
    <row r="640" spans="1:159" ht="1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</row>
    <row r="641" spans="1:159" ht="1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</row>
    <row r="642" spans="1:159" ht="1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</row>
    <row r="643" spans="1:159" ht="1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</row>
    <row r="644" spans="1:159" ht="1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</row>
    <row r="645" spans="1:159" ht="1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</row>
    <row r="646" spans="1:159" ht="1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</row>
    <row r="647" spans="1:159" ht="1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</row>
    <row r="648" spans="1:159" ht="1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</row>
    <row r="649" spans="1:159" ht="1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</row>
    <row r="650" spans="1:159" ht="1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</row>
    <row r="651" spans="1:159" ht="1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</row>
    <row r="652" spans="1:159" ht="1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</row>
    <row r="653" spans="1:159" ht="1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</row>
    <row r="654" spans="1:159" ht="1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</row>
    <row r="655" spans="1:159" ht="1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</row>
    <row r="656" spans="1:159" ht="1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</row>
    <row r="657" spans="1:159" ht="1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</row>
    <row r="658" spans="1:159" ht="1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</row>
    <row r="659" spans="1:159" ht="1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</row>
    <row r="660" spans="1:159" ht="1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</row>
    <row r="661" spans="1:159" ht="1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</row>
    <row r="662" spans="1:159" ht="1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</row>
    <row r="663" spans="1:159" ht="1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</row>
    <row r="664" spans="1:159" ht="1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</row>
    <row r="665" spans="1:159" ht="1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</row>
    <row r="666" spans="1:159" ht="1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</row>
    <row r="667" spans="1:159" ht="1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</row>
    <row r="668" spans="1:159" ht="1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</row>
    <row r="669" spans="1:159" ht="1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</row>
    <row r="670" spans="1:159" ht="1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</row>
    <row r="671" spans="1:159" ht="1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</row>
    <row r="672" spans="1:159" ht="1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</row>
    <row r="673" spans="1:159" ht="1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</row>
    <row r="674" spans="1:159" ht="1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</row>
    <row r="675" spans="1:159" ht="1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</row>
    <row r="676" spans="1:159" ht="1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</row>
    <row r="677" spans="1:159" ht="1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</row>
    <row r="678" spans="1:159" ht="1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</row>
    <row r="679" spans="1:159" ht="1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</row>
    <row r="680" spans="1:159" ht="1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</row>
    <row r="681" spans="1:159" ht="1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</row>
    <row r="682" spans="1:159" ht="1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</row>
    <row r="683" spans="1:159" ht="1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</row>
    <row r="684" spans="1:159" ht="1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</row>
    <row r="685" spans="1:159" ht="1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</row>
    <row r="686" spans="1:159" ht="1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</row>
    <row r="687" spans="1:159" ht="1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</row>
    <row r="688" spans="1:159" ht="1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</row>
    <row r="689" spans="1:159" ht="1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</row>
    <row r="690" spans="1:159" ht="1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</row>
    <row r="691" spans="1:159" ht="1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</row>
    <row r="692" spans="1:159" ht="1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</row>
    <row r="693" spans="1:159" ht="1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</row>
    <row r="694" spans="1:159" ht="1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</row>
    <row r="695" spans="1:159" ht="1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</row>
    <row r="696" spans="1:159" ht="1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</row>
    <row r="697" spans="1:159" ht="1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</row>
    <row r="698" spans="1:159" ht="1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</row>
    <row r="699" spans="1:159" ht="1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</row>
    <row r="700" spans="1:159" ht="1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</row>
    <row r="701" spans="1:159" ht="1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</row>
    <row r="702" spans="1:159" ht="1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</row>
    <row r="703" spans="1:159" ht="1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</row>
    <row r="704" spans="1:159" ht="1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</row>
    <row r="705" spans="1:159" ht="1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</row>
    <row r="706" spans="1:159" ht="1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</row>
    <row r="707" spans="1:159" ht="1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</row>
    <row r="708" spans="1:159" ht="1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</row>
    <row r="709" spans="1:159" ht="1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</row>
    <row r="710" spans="1:159" ht="1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</row>
    <row r="711" spans="1:159" ht="1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</row>
    <row r="712" spans="1:159" ht="1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</row>
    <row r="713" spans="1:159" ht="1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</row>
    <row r="714" spans="1:159" ht="1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</row>
    <row r="715" spans="1:159" ht="1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</row>
    <row r="716" spans="1:159" ht="1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</row>
    <row r="717" spans="1:159" ht="1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</row>
    <row r="718" spans="1:159" ht="1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</row>
    <row r="719" spans="1:159" ht="1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</row>
    <row r="720" spans="1:159" ht="1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</row>
    <row r="721" spans="1:159" ht="1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</row>
    <row r="722" spans="1:159" ht="1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</row>
    <row r="723" spans="1:159" ht="1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</row>
    <row r="724" spans="1:159" ht="1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</row>
    <row r="725" spans="1:159" ht="1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</row>
    <row r="726" spans="1:159" ht="1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</row>
    <row r="727" spans="1:159" ht="1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</row>
    <row r="728" spans="1:159" ht="1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</row>
    <row r="729" spans="1:159" ht="1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</row>
    <row r="730" spans="1:159" ht="1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</row>
    <row r="731" spans="1:159" ht="1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</row>
    <row r="732" spans="1:159" ht="1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</row>
    <row r="733" spans="1:159" ht="1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</row>
    <row r="734" spans="1:159" ht="1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</row>
    <row r="735" spans="1:159" ht="1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</row>
    <row r="736" spans="1:159" ht="1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</row>
    <row r="737" spans="1:159" ht="1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</row>
    <row r="738" spans="1:159" ht="1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</row>
    <row r="739" spans="1:159" ht="1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</row>
    <row r="740" spans="1:159" ht="1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</row>
    <row r="741" spans="1:159" ht="1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</row>
    <row r="742" spans="1:159" ht="1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</row>
    <row r="743" spans="1:159" ht="1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</row>
    <row r="744" spans="1:159" ht="1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</row>
    <row r="745" spans="1:159" ht="1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</row>
    <row r="746" spans="1:159" ht="1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</row>
    <row r="747" spans="1:159" ht="1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</row>
    <row r="748" spans="1:159" ht="1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</row>
    <row r="749" spans="1:159" ht="1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</row>
    <row r="750" spans="1:159" ht="1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</row>
    <row r="751" spans="1:159" ht="1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</row>
    <row r="752" spans="1:159" ht="1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</row>
    <row r="753" spans="1:159" ht="1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</row>
    <row r="754" spans="1:159" ht="1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</row>
    <row r="755" spans="1:159" ht="1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</row>
    <row r="756" spans="1:159" ht="1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</row>
    <row r="757" spans="1:159" ht="1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</row>
    <row r="758" spans="1:159" ht="1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</row>
    <row r="759" spans="1:159" ht="1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</row>
    <row r="760" spans="1:159" ht="1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</row>
    <row r="761" spans="1:159" ht="1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</row>
    <row r="762" spans="1:159" ht="1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</row>
    <row r="763" spans="1:159" ht="1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</row>
    <row r="764" spans="1:159" ht="1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</row>
    <row r="765" spans="1:159" ht="1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</row>
    <row r="766" spans="1:159" ht="1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</row>
    <row r="767" spans="1:159" ht="1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</row>
    <row r="768" spans="1:159" ht="1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</row>
    <row r="769" spans="1:159" ht="1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</row>
    <row r="770" spans="1:159" ht="1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</row>
    <row r="771" spans="1:159" ht="1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</row>
    <row r="772" spans="1:159" ht="1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</row>
    <row r="773" spans="1:159" ht="1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</row>
    <row r="774" spans="1:159" ht="1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</row>
    <row r="775" spans="1:159" ht="1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</row>
    <row r="776" spans="1:159" ht="1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</row>
    <row r="777" spans="1:159" ht="1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</row>
    <row r="778" spans="1:159" ht="1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</row>
    <row r="779" spans="1:159" ht="1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</row>
    <row r="780" spans="1:159" ht="1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</row>
    <row r="781" spans="1:159" ht="1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</row>
    <row r="782" spans="1:159" ht="1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</row>
    <row r="783" spans="1:159" ht="1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</row>
    <row r="784" spans="1:159" ht="1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</row>
    <row r="785" spans="1:159" ht="1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</row>
    <row r="786" spans="1:159" ht="1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</row>
    <row r="787" spans="1:159" ht="1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</row>
    <row r="788" spans="1:159" ht="1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</row>
    <row r="789" spans="1:159" ht="1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</row>
    <row r="790" spans="1:159" ht="1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</row>
    <row r="791" spans="1:159" ht="1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</row>
    <row r="792" spans="1:159" ht="1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</row>
    <row r="793" spans="1:159" ht="1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</row>
    <row r="794" spans="1:159" ht="1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</row>
    <row r="795" spans="1:159" ht="1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</row>
    <row r="796" spans="1:159" ht="1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</row>
    <row r="797" spans="1:159" ht="1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</row>
    <row r="798" spans="1:159" ht="1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</row>
    <row r="799" spans="1:159" ht="1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</row>
    <row r="800" spans="1:159" ht="1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</row>
    <row r="801" spans="1:159" ht="1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</row>
    <row r="802" spans="1:159" ht="1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</row>
    <row r="803" spans="1:159" ht="1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</row>
    <row r="804" spans="1:159" ht="1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</row>
    <row r="805" spans="1:159" ht="1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</row>
    <row r="806" spans="1:159" ht="1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</row>
    <row r="807" spans="1:159" ht="1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</row>
    <row r="808" spans="1:159" ht="1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</row>
    <row r="809" spans="1:159" ht="1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</row>
    <row r="810" spans="1:159" ht="1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</row>
    <row r="811" spans="1:159" ht="1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</row>
    <row r="812" spans="1:159" ht="1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</row>
    <row r="813" spans="1:159" ht="1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</row>
    <row r="814" spans="1:159" ht="1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</row>
    <row r="815" spans="1:159" ht="1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</row>
    <row r="816" spans="1:159" ht="1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</row>
    <row r="817" spans="1:159" ht="1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</row>
    <row r="818" spans="1:159" ht="1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</row>
    <row r="819" spans="1:159" ht="1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</row>
    <row r="820" spans="1:159" ht="1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</row>
    <row r="821" spans="1:159" ht="1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</row>
    <row r="822" spans="1:159" ht="1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</row>
    <row r="823" spans="1:159" ht="1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</row>
    <row r="824" spans="1:159" ht="1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</row>
    <row r="825" spans="1:159" ht="1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</row>
    <row r="826" spans="1:159" ht="1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</row>
    <row r="827" spans="1:159" ht="1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</row>
    <row r="828" spans="1:159" ht="1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</row>
    <row r="829" spans="1:159" ht="1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</row>
    <row r="830" spans="1:159" ht="1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</row>
    <row r="831" spans="1:159" ht="1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</row>
    <row r="832" spans="1:159" ht="1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</row>
    <row r="833" spans="1:159" ht="1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</row>
    <row r="834" spans="1:159" ht="1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</row>
    <row r="835" spans="1:159" ht="1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</row>
    <row r="836" spans="1:159" ht="1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</row>
    <row r="837" spans="1:159" ht="1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</row>
    <row r="838" spans="1:159" ht="1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</row>
    <row r="839" spans="1:159" ht="1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</row>
    <row r="840" spans="1:159" ht="1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</row>
    <row r="841" spans="1:159" ht="1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</row>
    <row r="842" spans="1:159" ht="1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</row>
    <row r="843" spans="1:159" ht="1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</row>
    <row r="844" spans="1:159" ht="1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</row>
    <row r="845" spans="1:159" ht="1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</row>
    <row r="846" spans="1:159" ht="1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</row>
    <row r="847" spans="1:159" ht="1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</row>
    <row r="848" spans="1:159" ht="1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</row>
    <row r="849" spans="1:159" ht="1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</row>
    <row r="850" spans="1:159" ht="1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</row>
    <row r="851" spans="1:159" ht="1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</row>
    <row r="852" spans="1:159" ht="1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</row>
    <row r="853" spans="1:159" ht="1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</row>
    <row r="854" spans="1:159" ht="1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</row>
    <row r="855" spans="1:159" ht="1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</row>
    <row r="856" spans="1:159" ht="1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</row>
    <row r="857" spans="1:159" ht="1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</row>
    <row r="858" spans="1:159" ht="1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</row>
    <row r="859" spans="1:159" ht="1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</row>
    <row r="860" spans="1:159" ht="1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</row>
    <row r="861" spans="1:159" ht="1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</row>
    <row r="862" spans="1:159" ht="1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</row>
    <row r="863" spans="1:159" ht="1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</row>
    <row r="864" spans="1:159" ht="1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</row>
    <row r="865" spans="1:159" ht="1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</row>
    <row r="866" spans="1:159" ht="1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</row>
    <row r="867" spans="1:159" ht="1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</row>
    <row r="868" spans="1:159" ht="1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</row>
    <row r="869" spans="1:159" ht="1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</row>
    <row r="870" spans="1:159" ht="1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</row>
    <row r="871" spans="1:159" ht="1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</row>
    <row r="872" spans="1:159" ht="1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</row>
    <row r="873" spans="1:159" ht="1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</row>
    <row r="874" spans="1:159" ht="1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</row>
    <row r="875" spans="1:159" ht="1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</row>
    <row r="876" spans="1:159" ht="1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</row>
    <row r="877" spans="1:159" ht="1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</row>
    <row r="878" spans="1:159" ht="1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</row>
    <row r="879" spans="1:159" ht="1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</row>
    <row r="880" spans="1:159" ht="1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</row>
    <row r="881" spans="1:159" ht="1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</row>
    <row r="882" spans="1:159" ht="1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</row>
    <row r="883" spans="1:159" ht="1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</row>
    <row r="884" spans="1:159" ht="1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</row>
    <row r="885" spans="1:159" ht="1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</row>
    <row r="886" spans="1:159" ht="1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</row>
    <row r="887" spans="1:159" ht="1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</row>
    <row r="888" spans="1:159" ht="1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</row>
    <row r="889" spans="1:159" ht="1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</row>
    <row r="890" spans="1:159" ht="1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</row>
    <row r="891" spans="1:159" ht="1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</row>
    <row r="892" spans="1:159" ht="1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</row>
    <row r="893" spans="1:159" ht="1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</row>
    <row r="894" spans="1:159" ht="1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</row>
    <row r="895" spans="1:159" ht="1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</row>
    <row r="896" spans="1:159" ht="1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</row>
    <row r="897" spans="1:159" ht="1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</row>
    <row r="898" spans="1:159" ht="1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</row>
    <row r="899" spans="1:159" ht="1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</row>
    <row r="900" spans="1:159" ht="1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</row>
    <row r="901" spans="1:159" ht="1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</row>
    <row r="902" spans="1:159" ht="1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</row>
    <row r="903" spans="1:159" ht="1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</row>
    <row r="904" spans="1:159" ht="1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</row>
    <row r="905" spans="1:159" ht="1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</row>
    <row r="906" spans="1:159" ht="1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</row>
    <row r="907" spans="1:159" ht="1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</row>
    <row r="908" spans="1:159" ht="1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</row>
    <row r="909" spans="1:159" ht="1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</row>
    <row r="910" spans="1:159" ht="1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</row>
    <row r="911" spans="1:159" ht="1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</row>
    <row r="912" spans="1:159" ht="1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</row>
    <row r="913" spans="1:159" ht="1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</row>
    <row r="914" spans="1:159" ht="1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</row>
    <row r="915" spans="1:159" ht="1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</row>
    <row r="916" spans="1:159" ht="1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</row>
    <row r="917" spans="1:159" ht="1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</row>
    <row r="918" spans="1:159" ht="1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</row>
    <row r="919" spans="1:159" ht="1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</row>
    <row r="920" spans="1:159" ht="1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</row>
    <row r="921" spans="1:159" ht="1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</row>
    <row r="922" spans="1:159" ht="1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</row>
    <row r="923" spans="1:159" ht="1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</row>
    <row r="924" spans="1:159" ht="1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</row>
    <row r="925" spans="1:159" ht="1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</row>
    <row r="926" spans="1:159" ht="1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</row>
    <row r="927" spans="1:159" ht="1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</row>
    <row r="928" spans="1:159" ht="1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</row>
    <row r="929" spans="1:159" ht="1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</row>
    <row r="930" spans="1:159" ht="1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</row>
    <row r="931" spans="1:159" ht="1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</row>
    <row r="932" spans="1:159" ht="1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</row>
    <row r="933" spans="1:159" ht="1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</row>
    <row r="934" spans="1:159" ht="1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</row>
    <row r="935" spans="1:159" ht="1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</row>
    <row r="936" spans="1:159" ht="1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</row>
    <row r="937" spans="1:159" ht="1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</row>
    <row r="938" spans="1:159" ht="1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</row>
    <row r="939" spans="1:159" ht="1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</row>
    <row r="940" spans="1:159" ht="1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</row>
    <row r="941" spans="1:159" ht="1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</row>
    <row r="942" spans="1:159" ht="1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</row>
    <row r="943" spans="1:159" ht="1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</row>
    <row r="944" spans="1:159" ht="1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</row>
    <row r="945" spans="1:159" ht="1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</row>
    <row r="946" spans="1:159" ht="1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</row>
    <row r="947" spans="1:159" ht="1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</row>
    <row r="948" spans="1:159" ht="1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</row>
    <row r="949" spans="1:159" ht="1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</row>
    <row r="950" spans="1:159" ht="1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</row>
    <row r="951" spans="1:159" ht="1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</row>
    <row r="952" spans="1:159" ht="1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</row>
    <row r="953" spans="1:159" ht="1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</row>
    <row r="954" spans="1:159" ht="1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</row>
    <row r="955" spans="1:159" ht="1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</row>
    <row r="956" spans="1:159" ht="1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</row>
    <row r="957" spans="1:159" ht="1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</row>
    <row r="958" spans="1:159" ht="1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</row>
    <row r="959" spans="1:159" ht="1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</row>
    <row r="960" spans="1:159" ht="1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</row>
    <row r="961" spans="1:159" ht="1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</row>
    <row r="962" spans="1:159" ht="1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</row>
    <row r="963" spans="1:159" ht="1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</row>
    <row r="964" spans="1:159" ht="1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</row>
    <row r="965" spans="1:159" ht="1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</row>
    <row r="966" spans="1:159" ht="1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</row>
    <row r="967" spans="1:159" ht="1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</row>
    <row r="968" spans="1:159" ht="1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</row>
    <row r="969" spans="1:159" ht="1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</row>
    <row r="970" spans="1:159" ht="1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</row>
    <row r="971" spans="1:159" ht="1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</row>
    <row r="972" spans="1:159" ht="1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</row>
    <row r="973" spans="1:159" ht="1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</row>
    <row r="974" spans="1:159" ht="1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</row>
    <row r="975" spans="1:159" ht="1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</row>
    <row r="976" spans="1:159" ht="1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</row>
    <row r="977" spans="1:159" ht="1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</row>
    <row r="978" spans="1:159" ht="1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</row>
    <row r="979" spans="1:159" ht="1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</row>
    <row r="980" spans="1:159" ht="1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</row>
    <row r="981" spans="1:159" ht="1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</row>
    <row r="982" spans="1:159" ht="1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</row>
    <row r="983" spans="1:159" ht="1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</row>
    <row r="984" spans="1:159" ht="1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</row>
    <row r="985" spans="1:159" ht="1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</row>
    <row r="986" spans="1:159" ht="1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</row>
    <row r="987" spans="1:159" ht="1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</row>
    <row r="988" spans="1:159" ht="1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</row>
    <row r="989" spans="1:159" ht="1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</row>
    <row r="990" spans="1:159" ht="1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</row>
    <row r="991" spans="1:159" ht="1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</row>
    <row r="992" spans="1:159" ht="1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</row>
    <row r="993" spans="1:159" ht="1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</row>
    <row r="994" spans="1:159" ht="1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</row>
    <row r="995" spans="1:159" ht="1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</row>
    <row r="996" spans="1:159" ht="1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</row>
    <row r="997" spans="1:159" ht="1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</row>
    <row r="998" spans="1:159" ht="1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</row>
    <row r="999" spans="1:159" ht="1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</row>
    <row r="1000" spans="1:159" ht="1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</row>
    <row r="1001" spans="1:159" ht="1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</row>
    <row r="1002" spans="1:159" ht="1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</row>
    <row r="1003" spans="1:159" ht="1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</row>
    <row r="1004" spans="1:159" ht="1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</row>
    <row r="1005" spans="1:159" ht="1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</row>
    <row r="1006" spans="1:159" ht="1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</row>
    <row r="1007" spans="1:159" ht="1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</row>
    <row r="1008" spans="1:159" ht="1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</row>
    <row r="1009" spans="1:159" ht="1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</row>
    <row r="1010" spans="1:159" ht="1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</row>
    <row r="1011" spans="1:159" ht="1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</row>
    <row r="1012" spans="1:159" ht="1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</row>
    <row r="1013" spans="1:159" ht="1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</row>
    <row r="1014" spans="1:159" ht="1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</row>
    <row r="1015" spans="1:159" ht="1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</row>
    <row r="1016" spans="1:159" ht="1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</row>
    <row r="1017" spans="1:159" ht="1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</row>
    <row r="1018" spans="1:159" ht="1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</row>
    <row r="1019" spans="1:159" ht="1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</row>
    <row r="1020" spans="1:159" ht="1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</row>
    <row r="1021" spans="1:159" ht="1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</row>
    <row r="1022" spans="1:159" ht="1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</row>
    <row r="1023" spans="1:159" ht="1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</row>
    <row r="1024" spans="1:159" ht="1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</row>
    <row r="1025" spans="1:159" ht="1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</row>
    <row r="1026" spans="1:159" ht="1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</row>
    <row r="1027" spans="1:159" ht="1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</row>
    <row r="1028" spans="1:159" ht="1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</row>
    <row r="1029" spans="1:159" ht="1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</row>
    <row r="1030" spans="1:159" ht="1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</row>
    <row r="1031" spans="1:159" ht="1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</row>
    <row r="1032" spans="1:159" ht="1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</row>
    <row r="1033" spans="1:159" ht="1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</row>
    <row r="1034" spans="1:159" ht="1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</row>
    <row r="1035" spans="1:159" ht="1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</row>
    <row r="1036" spans="1:159" ht="1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</row>
    <row r="1037" spans="1:159" ht="1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</row>
    <row r="1038" spans="1:159" ht="1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</row>
    <row r="1039" spans="1:159" ht="1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</row>
    <row r="1040" spans="1:159" ht="1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</row>
    <row r="1041" spans="1:159" ht="1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</row>
    <row r="1042" spans="1:159" ht="1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</row>
    <row r="1043" spans="1:159" ht="1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</row>
    <row r="1044" spans="1:159" ht="1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</row>
    <row r="1045" spans="1:159" ht="1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</row>
    <row r="1046" spans="1:159" ht="1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</row>
    <row r="1047" spans="1:159" ht="1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</row>
    <row r="1048" spans="1:159" ht="1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</row>
    <row r="1049" spans="1:159" ht="1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</row>
    <row r="1050" spans="1:159" ht="1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</row>
    <row r="1051" spans="1:159" ht="1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</row>
    <row r="1052" spans="1:159" ht="1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</row>
    <row r="1053" spans="1:159" ht="1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</row>
    <row r="1054" spans="1:159" ht="1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</row>
    <row r="1055" spans="1:159" ht="1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</row>
    <row r="1056" spans="1:159" ht="1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</row>
    <row r="1057" spans="1:159" ht="1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</row>
    <row r="1058" spans="1:159" ht="1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</row>
    <row r="1059" spans="1:159" ht="1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</row>
    <row r="1060" spans="1:159" ht="1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</row>
    <row r="1061" spans="1:159" ht="1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</row>
    <row r="1062" spans="1:159" ht="1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</row>
    <row r="1063" spans="1:159" ht="1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</row>
    <row r="1064" spans="1:159" ht="1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</row>
    <row r="1065" spans="1:159" ht="1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</row>
    <row r="1066" spans="1:159" ht="1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</row>
    <row r="1067" spans="1:159" ht="1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</row>
    <row r="1068" spans="1:159" ht="1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</row>
    <row r="1069" spans="1:159" ht="1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</row>
    <row r="1070" spans="1:159" ht="1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</row>
    <row r="1071" spans="1:159" ht="1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</row>
    <row r="1072" spans="1:159" ht="1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</row>
    <row r="1073" spans="1:159" ht="17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</row>
    <row r="1074" spans="1:159" ht="17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</row>
    <row r="1075" spans="1:159" ht="17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</row>
    <row r="1076" spans="1:159" ht="17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</row>
    <row r="1077" spans="1:159" ht="17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</row>
    <row r="1078" spans="1:159" ht="17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</row>
    <row r="1079" spans="1:159" ht="17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</row>
    <row r="1080" spans="1:159" ht="1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</row>
    <row r="1081" spans="1:159" ht="1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</row>
    <row r="1082" spans="1:159" ht="1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</row>
    <row r="1083" spans="1:159" ht="17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</row>
    <row r="1084" spans="1:159" ht="17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</row>
    <row r="1085" spans="1:159" ht="17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</row>
    <row r="1086" spans="1:159" ht="1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</row>
    <row r="1087" spans="1:159" ht="1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</row>
    <row r="1088" spans="1:159" ht="1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</row>
    <row r="1089" spans="1:159" ht="17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</row>
    <row r="1090" spans="1:159" ht="17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</row>
    <row r="1091" spans="1:159" ht="17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</row>
    <row r="1092" spans="1:159" ht="17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</row>
    <row r="1093" spans="1:159" ht="17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</row>
    <row r="1094" spans="1:159" ht="17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</row>
    <row r="1095" spans="1:159" ht="17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</row>
    <row r="1096" spans="1:159" ht="17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</row>
    <row r="1097" spans="1:159" ht="17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</row>
    <row r="1098" spans="1:159" ht="17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</row>
    <row r="1099" spans="1:159" ht="17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</row>
    <row r="1100" spans="1:159" ht="17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</row>
    <row r="1101" spans="1:159" ht="17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</row>
    <row r="1102" spans="1:159" ht="17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</row>
    <row r="1103" spans="1:159" ht="17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</row>
    <row r="1104" spans="1:159" ht="17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</row>
    <row r="1105" spans="1:159" ht="17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</row>
    <row r="1106" spans="1:159" ht="17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</row>
    <row r="1107" spans="1:159" ht="17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</row>
    <row r="1108" spans="1:159" ht="17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</row>
    <row r="1109" spans="1:159" ht="17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</row>
    <row r="1110" spans="1:159" ht="17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</row>
    <row r="1111" spans="1:159" ht="17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</row>
    <row r="1112" spans="1:159" ht="17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</row>
    <row r="1113" spans="1:159" ht="17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</row>
    <row r="1114" spans="1:159" ht="17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</row>
    <row r="1115" spans="1:159" ht="17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</row>
    <row r="1116" spans="1:159" ht="17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</row>
    <row r="1117" spans="1:159" ht="17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</row>
    <row r="1118" spans="1:159" ht="17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</row>
    <row r="1119" spans="1:159" ht="17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</row>
    <row r="1120" spans="1:159" ht="17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</row>
    <row r="1121" spans="1:159" ht="17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</row>
    <row r="1122" spans="1:159" ht="17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</row>
    <row r="1123" spans="1:159" ht="17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</row>
    <row r="1124" spans="1:159" ht="17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</row>
    <row r="1125" spans="1:159" ht="17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</row>
    <row r="1126" spans="1:159" ht="17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</row>
    <row r="1127" spans="1:159" ht="17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</row>
    <row r="1128" spans="1:159" ht="17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</row>
    <row r="1129" spans="1:159" ht="17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</row>
    <row r="1130" spans="1:159" ht="17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</row>
    <row r="1131" spans="1:159" ht="17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</row>
    <row r="1132" spans="1:159" ht="17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</row>
    <row r="1133" spans="1:159" ht="17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</row>
    <row r="1134" spans="1:159" ht="17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</row>
    <row r="1135" spans="1:159" ht="17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</row>
    <row r="1136" spans="1:159" ht="17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</row>
    <row r="1137" spans="1:159" ht="17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</row>
    <row r="1138" spans="1:159" ht="17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</row>
    <row r="1139" spans="1:159" ht="17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</row>
    <row r="1140" spans="1:159" ht="17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</row>
    <row r="1141" spans="1:159" ht="17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</row>
    <row r="1142" spans="1:159" ht="17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</row>
    <row r="1143" spans="1:159" ht="17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</row>
    <row r="1144" spans="1:159" ht="17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</row>
    <row r="1145" spans="1:159" ht="17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</row>
    <row r="1146" spans="1:159" ht="17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</row>
    <row r="1147" spans="1:159" ht="17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</row>
    <row r="1148" spans="1:159" ht="17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</row>
    <row r="1149" spans="1:159" ht="17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</row>
    <row r="1150" spans="1:159" ht="17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</row>
    <row r="1151" spans="1:159" ht="17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</row>
    <row r="1152" spans="1:159" ht="17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</row>
    <row r="1153" spans="1:159" ht="17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</row>
    <row r="1154" spans="1:159" ht="17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</row>
    <row r="1155" spans="1:159" ht="17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</row>
    <row r="1156" spans="1:159" ht="17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</row>
    <row r="1157" spans="1:159" ht="17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</row>
    <row r="1158" spans="1:159" ht="17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</row>
    <row r="1159" spans="1:159" ht="17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</row>
    <row r="1160" spans="1:159" ht="17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</row>
    <row r="1161" spans="1:159" ht="17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</row>
    <row r="1162" spans="1:159" ht="17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</row>
    <row r="1163" spans="1:159" ht="17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</row>
    <row r="1164" spans="1:159" ht="17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</row>
    <row r="1165" spans="1:159" ht="17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</row>
    <row r="1166" spans="1:159" ht="17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</row>
    <row r="1167" spans="1:159" ht="17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</row>
    <row r="1168" spans="1:159" ht="17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</row>
    <row r="1169" spans="1:159" ht="17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</row>
    <row r="1170" spans="1:159" ht="17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</row>
    <row r="1171" spans="1:159" ht="17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</row>
    <row r="1172" spans="1:159" ht="17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</row>
    <row r="1173" spans="1:159" ht="17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</row>
    <row r="1174" spans="1:159" ht="17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</row>
    <row r="1175" spans="1:159" ht="17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</row>
    <row r="1176" spans="1:159" ht="17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</row>
    <row r="1177" spans="1:159" ht="17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</row>
    <row r="1178" spans="1:159" ht="17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</row>
    <row r="1179" spans="1:159" ht="17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</row>
    <row r="1180" spans="1:159" ht="17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</row>
    <row r="1181" spans="1:159" ht="17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</row>
    <row r="1182" spans="1:159" ht="17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</row>
    <row r="1183" spans="1:159" ht="17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</row>
    <row r="1184" spans="1:159" ht="17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</row>
    <row r="1185" spans="1:159" ht="17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</row>
    <row r="1186" spans="1:159" ht="17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</row>
    <row r="1187" spans="1:159" ht="17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</row>
    <row r="1188" spans="1:159" ht="17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</row>
    <row r="1189" spans="1:159" ht="17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</row>
    <row r="1190" spans="1:159" ht="17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</row>
    <row r="1191" spans="1:159" ht="17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</row>
    <row r="1192" spans="1:159" ht="17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</row>
    <row r="1193" spans="1:159" ht="17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</row>
    <row r="1194" spans="1:159" ht="17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</row>
    <row r="1195" spans="1:159" ht="17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</row>
    <row r="1196" spans="1:159" ht="17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</row>
    <row r="1197" spans="1:159" ht="17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</row>
    <row r="1198" spans="1:159" ht="17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</row>
    <row r="1199" spans="1:159" ht="17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</row>
    <row r="1200" spans="1:159" ht="17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</row>
    <row r="1201" spans="1:159" ht="17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</row>
    <row r="1202" spans="1:159" ht="17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</row>
    <row r="1203" spans="1:159" ht="17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</row>
    <row r="1204" spans="1:159" ht="17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</row>
    <row r="1205" spans="1:159" ht="17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</row>
    <row r="1206" spans="1:159" ht="17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</row>
    <row r="1207" spans="1:159" ht="17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</row>
    <row r="1208" spans="1:159" ht="17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</row>
    <row r="1209" spans="1:159" ht="17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</row>
    <row r="1210" spans="1:159" ht="17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</row>
    <row r="1211" spans="1:159" ht="17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</row>
    <row r="1212" spans="1:159" ht="17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</row>
    <row r="1213" spans="1:159" ht="17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</row>
    <row r="1214" spans="1:159" ht="17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</row>
    <row r="1215" spans="1:159" ht="17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</row>
    <row r="1216" spans="1:159" ht="17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</row>
    <row r="1217" spans="1:159" ht="17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</row>
    <row r="1218" spans="1:159" ht="17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</row>
    <row r="1219" spans="1:159" ht="17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</row>
    <row r="1220" spans="1:159" ht="17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</row>
    <row r="1221" spans="1:159" ht="17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</row>
    <row r="1222" spans="1:159" ht="17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</row>
    <row r="1223" spans="1:159" ht="17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</row>
    <row r="1224" spans="1:159" ht="17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</row>
    <row r="1225" spans="1:159" ht="17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</row>
    <row r="1226" spans="1:159" ht="17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</row>
    <row r="1227" spans="1:159" ht="17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</row>
    <row r="1228" spans="1:159" ht="17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</row>
    <row r="1229" spans="1:159" ht="17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</row>
    <row r="1230" spans="1:159" ht="17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</row>
    <row r="1231" spans="1:159" ht="17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</row>
    <row r="1232" spans="1:159" ht="17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</row>
    <row r="1233" spans="1:159" ht="17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</row>
    <row r="1234" spans="1:159" ht="17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</row>
    <row r="1235" spans="1:159" ht="17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</row>
    <row r="1236" spans="1:159" ht="17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</row>
    <row r="1237" spans="1:159" ht="17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</row>
    <row r="1238" spans="1:159" ht="17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</row>
    <row r="1239" spans="1:159" ht="17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</row>
    <row r="1240" spans="1:159" ht="17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</row>
    <row r="1241" spans="1:159" ht="17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</row>
    <row r="1242" spans="1:159" ht="17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</row>
    <row r="1243" spans="1:159" ht="17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</row>
    <row r="1244" spans="1:159" ht="17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</row>
    <row r="1245" spans="1:159" ht="17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</row>
    <row r="1246" spans="1:159" ht="17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</row>
    <row r="1247" spans="1:159" ht="17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</row>
    <row r="1248" spans="1:159" ht="17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</row>
    <row r="1249" spans="1:159" ht="17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</row>
    <row r="1250" spans="1:159" ht="17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</row>
    <row r="1251" spans="1:159" ht="17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</row>
    <row r="1252" spans="1:159" ht="17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</row>
    <row r="1253" spans="1:159" ht="17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</row>
    <row r="1254" spans="1:159" ht="17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</row>
    <row r="1255" spans="1:159" ht="17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</row>
    <row r="1256" spans="1:159" ht="17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</row>
    <row r="1257" spans="1:159" ht="17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</row>
    <row r="1258" spans="1:159" ht="17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</row>
    <row r="1259" spans="1:159" ht="17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</row>
    <row r="1260" spans="1:159" ht="17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</row>
    <row r="1261" spans="1:159" ht="17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</row>
    <row r="1262" spans="1:159" ht="17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</row>
    <row r="1263" spans="1:159" ht="17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</row>
    <row r="1264" spans="1:159" ht="17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</row>
    <row r="1265" spans="1:159" ht="17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</row>
    <row r="1266" spans="1:159" ht="17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</row>
    <row r="1267" spans="1:159" ht="17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</row>
    <row r="1268" spans="1:159" ht="17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</row>
    <row r="1269" spans="1:159" ht="17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</row>
    <row r="1270" spans="1:159" ht="17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</row>
    <row r="1271" spans="1:159" ht="17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</row>
    <row r="1272" spans="1:159" ht="17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</row>
    <row r="1273" spans="1:159" ht="17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</row>
    <row r="1274" spans="1:159" ht="17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</row>
    <row r="1275" spans="1:159" ht="17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</row>
    <row r="1276" spans="1:159" ht="17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</row>
    <row r="1277" spans="1:159" ht="17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</row>
    <row r="1278" spans="1:159" ht="17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</row>
    <row r="1279" spans="1:159" ht="17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</row>
    <row r="1280" spans="1:159" ht="17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</row>
    <row r="1281" spans="1:159" ht="17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</row>
    <row r="1282" spans="1:159" ht="17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</row>
    <row r="1283" spans="1:159" ht="17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</row>
    <row r="1284" spans="1:159" ht="17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</row>
    <row r="1285" spans="1:159" ht="17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</row>
    <row r="1286" spans="1:159" ht="17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</row>
    <row r="1287" spans="1:159" ht="17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</row>
  </sheetData>
  <mergeCells count="2">
    <mergeCell ref="A1:D1"/>
    <mergeCell ref="A3:D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E47F1F-2233-CD43-82B7-9B72BBFC10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PQ_Exportaciones2023</vt:lpstr>
      <vt:lpstr>PQ_ProductoPais</vt:lpstr>
      <vt:lpstr>1_Datos</vt:lpstr>
      <vt:lpstr>2_Modelo</vt:lpstr>
      <vt:lpstr>3_Dashboard</vt:lpstr>
      <vt:lpstr>4_Solver_Escenarios</vt:lpstr>
      <vt:lpstr>5_Control_Validado</vt:lpstr>
      <vt:lpstr>6_Resumen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Belen Llatas Beny</dc:creator>
  <cp:lastModifiedBy>Belen Llatas Beny</cp:lastModifiedBy>
  <dcterms:created xsi:type="dcterms:W3CDTF">2025-06-07T16:14:57Z</dcterms:created>
  <dcterms:modified xsi:type="dcterms:W3CDTF">2025-06-27T15:10:26Z</dcterms:modified>
</cp:coreProperties>
</file>